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E:\Users\Alex\Documents\Electronics Projects\Modular Audio\lm5155sim\"/>
    </mc:Choice>
  </mc:AlternateContent>
  <xr:revisionPtr revIDLastSave="0" documentId="13_ncr:1_{D54AD17D-74ED-4527-8AFD-56CC31A20DAA}" xr6:coauthVersionLast="47" xr6:coauthVersionMax="47" xr10:uidLastSave="{00000000-0000-0000-0000-000000000000}"/>
  <workbookProtection workbookAlgorithmName="SHA-512" workbookHashValue="gc34FGggw3Ir8zQVSgaZChUqrVvVKYZwhSXpduqtPUD6nQuIaEe42JJKFmE/OmtpkzYp1ZfCj82eR88ZFlGbkQ==" workbookSaltValue="MvI2n84VClkXRpVOZBZk3g==" workbookSpinCount="100000" lockStructure="1"/>
  <bookViews>
    <workbookView xWindow="-120" yWindow="-120" windowWidth="29040" windowHeight="15840"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Licenses" sheetId="10" r:id="rId9"/>
    <sheet name="Sheet1" sheetId="9" state="hidden" r:id="rId10"/>
  </sheets>
  <externalReferences>
    <externalReference r:id="rId11"/>
  </externalReferences>
  <definedNames>
    <definedName name="Acs">Constants!$B$30</definedName>
    <definedName name="Adc">Loop_Modeling!$B$35</definedName>
    <definedName name="Adc_ea">Loop_Modeling!$B$61</definedName>
    <definedName name="ADC_VINmin">Variable_Management!$B$189</definedName>
    <definedName name="CCOMP">Variable_Management!$B$230</definedName>
    <definedName name="CComp_calc">Variable_Management!$B$229</definedName>
    <definedName name="CHF">Variable_Management!$B$232</definedName>
    <definedName name="Comp_calc">Variable_Management!$B$229</definedName>
    <definedName name="CondMode">OFFSET(Lists!$B$9,0,0,COUNTIF(Lists!$B$9:$B$11,"?CM*"),1)</definedName>
    <definedName name="Cout">Variable_Management!$B$155</definedName>
    <definedName name="Cout_min">Variable_Management!$B$153</definedName>
    <definedName name="D_limit_max">Constants!$B$18</definedName>
    <definedName name="D_limit_min">Constants!$B$16</definedName>
    <definedName name="D_limit_nom">Constants!$B$17</definedName>
    <definedName name="Dc_CCM_VIN_max">Variable_Management!$B$50</definedName>
    <definedName name="Dc_CCM_VIN_min">Variable_Management!$B$42</definedName>
    <definedName name="Dc_CCM_VIN_nom">Variable_Management!$B$46</definedName>
    <definedName name="Dc_DCM_VIN_nom">Variable_Management!$B$62</definedName>
    <definedName name="Dc_max_IC">Variable_Management!$B$21</definedName>
    <definedName name="Dc_max_ideal">Variable_Management!$A$20</definedName>
    <definedName name="Dc_Mode">Variable_Management!$B$36</definedName>
    <definedName name="Dc_Mode_Loop">Loop_Modeling!$B$14</definedName>
    <definedName name="Dc_rip_max">Variable_Management!$B$79</definedName>
    <definedName name="Dc_VIN_max">Variable_Management!$B$31</definedName>
    <definedName name="Dc_VIN_min">Variable_Management!$B$23</definedName>
    <definedName name="Dc_VIN_nom">Variable_Management!$B$27</definedName>
    <definedName name="display_SCH">INDIRECT(Plot_Management_Sch!$A$1)</definedName>
    <definedName name="_xlnm.Print_Area" localSheetId="0">'Design Converter'!$A$1:$Z$100</definedName>
    <definedName name="EFF_est">Variable_Management!$B$17</definedName>
    <definedName name="Eff_vs_IOUT">Plot_Management_Eff!$C$3</definedName>
    <definedName name="fcross">Variable_Management!$B$213</definedName>
    <definedName name="fcross_est">Variable_Management!$B$212</definedName>
    <definedName name="FIR_BYPASSED">'[1]Digital Filter'!$T$84</definedName>
    <definedName name="fp_ea_est">Variable_Management!$B$223</definedName>
    <definedName name="Fsw">Variable_Management!$B$10</definedName>
    <definedName name="fz_ea_est">Variable_Management!$B$221</definedName>
    <definedName name="fz_rhp">Variable_Management!$B$198</definedName>
    <definedName name="Gcomp">Constants!$B$29</definedName>
    <definedName name="Gea_mid_calc">Variable_Management!$B$217</definedName>
    <definedName name="gfs">Variable_Management!$B$249</definedName>
    <definedName name="gm_ea">Constants!$B$34</definedName>
    <definedName name="Gplant_fc_dB">Loop_Modeling!$AD$7</definedName>
    <definedName name="IIN_33">Variable_Management!$B$81</definedName>
    <definedName name="IL_avg_VIN_max">Variable_Management!$B$33</definedName>
    <definedName name="IL_avg_VIN_min">Variable_Management!$B$25</definedName>
    <definedName name="IL_avg_VIN_nom">Variable_Management!$B$29</definedName>
    <definedName name="IL_pk">Variable_Management!$B$142</definedName>
    <definedName name="IL_pk_max">Variable_Management!$B$143</definedName>
    <definedName name="ILp_VINmax">Variable_Management!$B$119</definedName>
    <definedName name="ILp_VINmin">Variable_Management!$B$113</definedName>
    <definedName name="ILp_VINnom">Variable_Management!$B$116</definedName>
    <definedName name="ILrip">Variable_Management!$B$71</definedName>
    <definedName name="ILrip_VINmax">Variable_Management!$B$118</definedName>
    <definedName name="ILrip_VINmin">Variable_Management!$B$112</definedName>
    <definedName name="ILrip_VINnom">Variable_Management!$B$115</definedName>
    <definedName name="IOUT">Variable_Management!$B$14</definedName>
    <definedName name="Ipk_margin">Variable_Management!$B$122</definedName>
    <definedName name="Ipk_selected">Variable_Management!$B$123</definedName>
    <definedName name="IQ">Constants!$B$48</definedName>
    <definedName name="IRMS_COUT">Variable_Management!$B$154</definedName>
    <definedName name="Isl">Constants!$B$25</definedName>
    <definedName name="Iss">Constants!$B$37</definedName>
    <definedName name="Kslope">Variable_Management!$B$130</definedName>
    <definedName name="L_DCM">Variable_Management!$B$89</definedName>
    <definedName name="Lm">Variable_Management!$B$84</definedName>
    <definedName name="Lopt">Variable_Management!$B$76</definedName>
    <definedName name="Lopt_2">Variable_Management!$B$82</definedName>
    <definedName name="POUT">Variable_Management!$B$16</definedName>
    <definedName name="Q">Loop_Modeling!$B$49</definedName>
    <definedName name="Q_VINmin">Variable_Management!$B$206</definedName>
    <definedName name="Qg_tot">Variable_Management!$B$244</definedName>
    <definedName name="Qgd">Variable_Management!$B$245</definedName>
    <definedName name="Qgs">Variable_Management!$B$246</definedName>
    <definedName name="Qrr">Variable_Management!$B$239</definedName>
    <definedName name="R_cs">Variable_Management!$B$138</definedName>
    <definedName name="R_sl">Variable_Management!$B$139</definedName>
    <definedName name="RCOMP">Variable_Management!$B$228</definedName>
    <definedName name="Rcomp_calc">Variable_Management!$B$227</definedName>
    <definedName name="Rcs_max">Variable_Management!$B$127</definedName>
    <definedName name="Rcs_w_sl">Variable_Management!$B$131</definedName>
    <definedName name="Rcs_wo_sl">Variable_Management!$B$128</definedName>
    <definedName name="Rdcr">Variable_Management!$B$85</definedName>
    <definedName name="RDS_on">Variable_Management!$B$243</definedName>
    <definedName name="Resr">Variable_Management!$B$156</definedName>
    <definedName name="RFBB">Variable_Management!$B$184</definedName>
    <definedName name="RFBB_calc">Variable_Management!$B$183</definedName>
    <definedName name="RFBT">Variable_Management!$B$182</definedName>
    <definedName name="Rgate">Variable_Management!$B$247</definedName>
    <definedName name="ROUT">Variable_Management!$B$15</definedName>
    <definedName name="Rsl_int">Constants!$B$26</definedName>
    <definedName name="Rsl_max">Constants!$B$28</definedName>
    <definedName name="RT">Variable_Management!$B$11</definedName>
    <definedName name="Ruvlo_bottom_calc">Variable_Management!$B$173</definedName>
    <definedName name="Ruvlo_top">Variable_Management!$B$172</definedName>
    <definedName name="Ruvlo_top_calc">Variable_Management!$B$171</definedName>
    <definedName name="SCH_1">Plot_Management_Sch!$B$2</definedName>
    <definedName name="SCH_2">Plot_Management_Sch!$B$4</definedName>
    <definedName name="Se_VINmin">Variable_Management!$B$202</definedName>
    <definedName name="Sn_VINmin">Variable_Management!$B$203</definedName>
    <definedName name="tf_sw">Variable_Management!$B$256</definedName>
    <definedName name="tr_sw">Variable_Management!$B$255</definedName>
    <definedName name="tss">Variable_Management!$B$162</definedName>
    <definedName name="UV_fall">Constants!$B$41</definedName>
    <definedName name="UV_I_hyst">Constants!$B$42</definedName>
    <definedName name="UV_rise">Constants!$B$40</definedName>
    <definedName name="Vcc">Constants!$B$45</definedName>
    <definedName name="Vcl">Constants!$B$27</definedName>
    <definedName name="Vd_rect">Variable_Management!$B$238</definedName>
    <definedName name="VIN_33">Variable_Management!$B$80</definedName>
    <definedName name="VIN_max">Variable_Management!$B$9</definedName>
    <definedName name="VIN_min">Variable_Management!$B$7</definedName>
    <definedName name="VIN_nom">Variable_Management!$B$8</definedName>
    <definedName name="VIN_op_max">Constants!$B$52</definedName>
    <definedName name="VIN_op_max_56">Constants!$B$53</definedName>
    <definedName name="VIN_op_min">Constants!$B$51</definedName>
    <definedName name="VIN_var">Variable_Management!$B$8</definedName>
    <definedName name="VOUT">Variable_Management!$B$13</definedName>
    <definedName name="Vout_rip_sel">Variable_Management!$B$152</definedName>
    <definedName name="Vref">Constants!$B$33</definedName>
    <definedName name="Vth">Variable_Management!$B$250</definedName>
    <definedName name="Vuvlo_off">Variable_Management!$B$167</definedName>
    <definedName name="Vuvlo_on">Variable_Management!$B$166</definedName>
    <definedName name="wp_hf">Loop_Modeling!$B$50</definedName>
    <definedName name="wp_lf">Loop_Modeling!$B$36</definedName>
    <definedName name="wp_lf_VINmin">Variable_Management!$B$191</definedName>
    <definedName name="wp0_ea">Loop_Modeling!$B$63</definedName>
    <definedName name="wp1_ea">Loop_Modeling!$B$64</definedName>
    <definedName name="wsl">Loop_Modeling!$B$48</definedName>
    <definedName name="wsl_VINmin">Variable_Management!$B$205</definedName>
    <definedName name="wz_ea">Loop_Modeling!$B$62</definedName>
    <definedName name="wz_esr">Loop_Modeling!$B$42</definedName>
    <definedName name="wz_esr_VINmin">Variable_Management!$B$194</definedName>
    <definedName name="wz_rhp">Loop_Modeling!$B$39</definedName>
    <definedName name="wz_RHP_VINmin">Variable_Management!$B$197</definedName>
  </definedNames>
  <calcPr calcId="181029"/>
</workbook>
</file>

<file path=xl/calcChain.xml><?xml version="1.0" encoding="utf-8"?>
<calcChain xmlns="http://schemas.openxmlformats.org/spreadsheetml/2006/main">
  <c r="A1" i="7" l="1"/>
  <c r="B36" i="2" l="1"/>
  <c r="M126" i="2"/>
  <c r="B2" i="6"/>
  <c r="B48" i="3"/>
  <c r="B251" i="2"/>
  <c r="B250" i="2"/>
  <c r="B249" i="2"/>
  <c r="B247" i="2"/>
  <c r="B246" i="2"/>
  <c r="B245" i="2"/>
  <c r="B244" i="2"/>
  <c r="B243" i="2"/>
  <c r="B239" i="2"/>
  <c r="B238" i="2"/>
  <c r="B172" i="2"/>
  <c r="B42" i="3"/>
  <c r="B170" i="2" s="1"/>
  <c r="B169" i="2"/>
  <c r="B168" i="2"/>
  <c r="B167" i="2"/>
  <c r="B166" i="2"/>
  <c r="B162" i="2"/>
  <c r="B37" i="3"/>
  <c r="B160" i="2"/>
  <c r="B21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O8" i="5"/>
  <c r="B29" i="3"/>
  <c r="B31" i="5" s="1"/>
  <c r="B182" i="2"/>
  <c r="B55" i="5" s="1"/>
  <c r="B184" i="2"/>
  <c r="B56" i="5" s="1"/>
  <c r="B230" i="2"/>
  <c r="B232" i="2"/>
  <c r="B59" i="5" s="1"/>
  <c r="B228" i="2"/>
  <c r="B28" i="5"/>
  <c r="B156" i="2"/>
  <c r="B155" i="2"/>
  <c r="B152" i="2"/>
  <c r="B144" i="2"/>
  <c r="B139" i="2"/>
  <c r="B27" i="5" s="1"/>
  <c r="B138" i="2"/>
  <c r="B26" i="5" s="1"/>
  <c r="B27" i="3"/>
  <c r="B25" i="3"/>
  <c r="B122" i="2"/>
  <c r="B85" i="2"/>
  <c r="B84" i="2"/>
  <c r="B22" i="3"/>
  <c r="B71" i="2"/>
  <c r="B10" i="2"/>
  <c r="AP87" i="4" s="1"/>
  <c r="B14" i="3"/>
  <c r="B12" i="3"/>
  <c r="B10" i="3"/>
  <c r="B17" i="2"/>
  <c r="B14" i="2"/>
  <c r="H85" i="1" s="1"/>
  <c r="B13" i="2"/>
  <c r="B9" i="2"/>
  <c r="B5" i="8" s="1"/>
  <c r="B8" i="2"/>
  <c r="T121" i="4" s="1"/>
  <c r="B7" i="2"/>
  <c r="B21" i="5"/>
  <c r="B10" i="5" l="1"/>
  <c r="B89" i="2"/>
  <c r="B194" i="2"/>
  <c r="B195" i="2" s="1"/>
  <c r="B63" i="5"/>
  <c r="AG433" i="5" s="1"/>
  <c r="T130" i="4"/>
  <c r="AQ130" i="4" s="1"/>
  <c r="T118" i="4"/>
  <c r="AQ118" i="4" s="1"/>
  <c r="T29" i="4"/>
  <c r="AQ29" i="4" s="1"/>
  <c r="T31" i="4"/>
  <c r="AQ31" i="4" s="1"/>
  <c r="T63" i="4"/>
  <c r="AQ63" i="4" s="1"/>
  <c r="T138" i="4"/>
  <c r="AQ138" i="4" s="1"/>
  <c r="T126" i="4"/>
  <c r="AQ126" i="4" s="1"/>
  <c r="T49" i="4"/>
  <c r="AQ49" i="4" s="1"/>
  <c r="T19" i="4"/>
  <c r="AQ19" i="4" s="1"/>
  <c r="T74" i="4"/>
  <c r="AQ74" i="4" s="1"/>
  <c r="T54" i="4"/>
  <c r="AQ54" i="4" s="1"/>
  <c r="T28" i="4"/>
  <c r="AQ28" i="4" s="1"/>
  <c r="T132" i="4"/>
  <c r="AQ132" i="4" s="1"/>
  <c r="T13" i="4"/>
  <c r="AQ13" i="4" s="1"/>
  <c r="T144" i="4"/>
  <c r="AQ144" i="4" s="1"/>
  <c r="T124" i="4"/>
  <c r="AQ124" i="4" s="1"/>
  <c r="T151" i="4"/>
  <c r="AQ151" i="4" s="1"/>
  <c r="T88" i="4"/>
  <c r="AQ88" i="4" s="1"/>
  <c r="T76" i="4"/>
  <c r="AQ76" i="4" s="1"/>
  <c r="R84" i="4"/>
  <c r="B36" i="5"/>
  <c r="Q96" i="5" s="1"/>
  <c r="T33" i="4"/>
  <c r="AQ33" i="4" s="1"/>
  <c r="B35" i="5"/>
  <c r="T79" i="4"/>
  <c r="AQ79" i="4" s="1"/>
  <c r="AG85" i="5"/>
  <c r="AI85" i="5" s="1"/>
  <c r="AG206" i="5"/>
  <c r="AH206" i="5" s="1"/>
  <c r="AG446" i="5"/>
  <c r="AI446" i="5" s="1"/>
  <c r="AG532" i="5"/>
  <c r="AG479" i="5"/>
  <c r="AI479" i="5" s="1"/>
  <c r="AG471" i="5"/>
  <c r="AH471" i="5" s="1"/>
  <c r="AG475" i="5"/>
  <c r="AI475" i="5" s="1"/>
  <c r="AG489" i="5"/>
  <c r="AG414" i="5"/>
  <c r="AI414" i="5" s="1"/>
  <c r="AG393" i="5"/>
  <c r="AI393" i="5" s="1"/>
  <c r="AG137" i="5"/>
  <c r="AH137" i="5" s="1"/>
  <c r="AG132" i="5"/>
  <c r="AH132" i="5" s="1"/>
  <c r="AG183" i="5"/>
  <c r="AG90" i="5"/>
  <c r="AH90" i="5" s="1"/>
  <c r="AG62" i="5"/>
  <c r="AG46" i="5"/>
  <c r="AG511" i="5"/>
  <c r="AH511" i="5" s="1"/>
  <c r="AG484" i="5"/>
  <c r="AH484" i="5" s="1"/>
  <c r="AG559" i="5"/>
  <c r="AG453" i="5"/>
  <c r="AH453" i="5" s="1"/>
  <c r="AG225" i="5"/>
  <c r="AI225" i="5" s="1"/>
  <c r="AG227" i="5"/>
  <c r="AG179" i="5"/>
  <c r="AG106" i="5"/>
  <c r="AG114" i="5"/>
  <c r="AG86" i="5"/>
  <c r="AG60" i="5"/>
  <c r="AG33" i="5"/>
  <c r="AG467" i="5"/>
  <c r="AG465" i="5"/>
  <c r="AG246" i="5"/>
  <c r="AI246" i="5" s="1"/>
  <c r="AG265" i="5"/>
  <c r="AH265" i="5" s="1"/>
  <c r="AG215" i="5"/>
  <c r="AI215" i="5" s="1"/>
  <c r="AG111" i="5"/>
  <c r="AI111" i="5" s="1"/>
  <c r="AG171" i="5"/>
  <c r="AG156" i="5"/>
  <c r="AG108" i="5"/>
  <c r="AG76" i="5"/>
  <c r="AI76" i="5" s="1"/>
  <c r="AG61" i="5"/>
  <c r="AH61" i="5" s="1"/>
  <c r="AG116" i="5"/>
  <c r="AG374" i="5"/>
  <c r="AI374" i="5" s="1"/>
  <c r="AG323" i="5"/>
  <c r="AI323" i="5" s="1"/>
  <c r="AG203" i="5"/>
  <c r="AH203" i="5" s="1"/>
  <c r="AG254" i="5"/>
  <c r="AG188" i="5"/>
  <c r="AG198" i="5"/>
  <c r="AG170" i="5"/>
  <c r="AG147" i="5"/>
  <c r="AG124" i="5"/>
  <c r="AH124" i="5" s="1"/>
  <c r="AG107" i="5"/>
  <c r="AG27" i="5"/>
  <c r="AG139" i="5"/>
  <c r="AH139" i="5" s="1"/>
  <c r="AG315" i="5"/>
  <c r="AI315" i="5" s="1"/>
  <c r="AG251" i="5"/>
  <c r="AH251" i="5" s="1"/>
  <c r="AG243" i="5"/>
  <c r="AI243" i="5" s="1"/>
  <c r="AG235" i="5"/>
  <c r="AG395" i="5"/>
  <c r="AG509" i="5"/>
  <c r="AG505" i="5"/>
  <c r="AI505" i="5" s="1"/>
  <c r="AG501" i="5"/>
  <c r="AG508" i="5"/>
  <c r="AH508" i="5" s="1"/>
  <c r="AG366" i="5"/>
  <c r="AG322" i="5"/>
  <c r="AI322" i="5" s="1"/>
  <c r="AG197" i="5"/>
  <c r="AG163" i="5"/>
  <c r="AH163" i="5" s="1"/>
  <c r="AG71" i="5"/>
  <c r="AI71" i="5" s="1"/>
  <c r="AG102" i="5"/>
  <c r="AG63" i="5"/>
  <c r="AG49" i="5"/>
  <c r="B58" i="5"/>
  <c r="AG500" i="5"/>
  <c r="AI500" i="5" s="1"/>
  <c r="AG358" i="5"/>
  <c r="AI358" i="5" s="1"/>
  <c r="AG482" i="5"/>
  <c r="AG310" i="5"/>
  <c r="AG309" i="5"/>
  <c r="AG228" i="5"/>
  <c r="AG186" i="5"/>
  <c r="AH186" i="5" s="1"/>
  <c r="AG161" i="5"/>
  <c r="AH161" i="5" s="1"/>
  <c r="AG84" i="5"/>
  <c r="AH84" i="5" s="1"/>
  <c r="AG145" i="5"/>
  <c r="AG98" i="5"/>
  <c r="AG59" i="5"/>
  <c r="AG105" i="5"/>
  <c r="AG57" i="5"/>
  <c r="AG169" i="5"/>
  <c r="R62" i="4"/>
  <c r="B15" i="2"/>
  <c r="R143" i="4"/>
  <c r="B16" i="2"/>
  <c r="H15" i="1" s="1"/>
  <c r="B20" i="5"/>
  <c r="R79" i="4"/>
  <c r="R105" i="4"/>
  <c r="R34" i="4"/>
  <c r="B45" i="5"/>
  <c r="B11" i="2"/>
  <c r="H13" i="1" s="1"/>
  <c r="B19" i="3"/>
  <c r="B20" i="3" s="1"/>
  <c r="B21" i="2" s="1"/>
  <c r="H16" i="1" s="1"/>
  <c r="B13" i="5"/>
  <c r="AP56" i="4"/>
  <c r="K21" i="2"/>
  <c r="AP30" i="4"/>
  <c r="AP116" i="4"/>
  <c r="AP115" i="4"/>
  <c r="AP66" i="4"/>
  <c r="AP49" i="4"/>
  <c r="O12" i="4"/>
  <c r="T30" i="4"/>
  <c r="AQ30" i="4" s="1"/>
  <c r="T152" i="4"/>
  <c r="AQ152" i="4" s="1"/>
  <c r="T82" i="4"/>
  <c r="AQ82" i="4" s="1"/>
  <c r="T27" i="4"/>
  <c r="AQ27" i="4" s="1"/>
  <c r="T137" i="4"/>
  <c r="AQ137" i="4" s="1"/>
  <c r="T105" i="4"/>
  <c r="AQ105" i="4" s="1"/>
  <c r="T80" i="4"/>
  <c r="AQ80" i="4" s="1"/>
  <c r="T24" i="4"/>
  <c r="AQ24" i="4" s="1"/>
  <c r="T62" i="4"/>
  <c r="AQ62" i="4" s="1"/>
  <c r="T93" i="4"/>
  <c r="AQ93" i="4" s="1"/>
  <c r="R141" i="4"/>
  <c r="R133" i="4"/>
  <c r="R98" i="4"/>
  <c r="R155" i="4"/>
  <c r="R76" i="4"/>
  <c r="T136" i="4"/>
  <c r="AQ136" i="4" s="1"/>
  <c r="T21" i="4"/>
  <c r="AQ21" i="4" s="1"/>
  <c r="T110" i="4"/>
  <c r="AQ110" i="4" s="1"/>
  <c r="T133" i="4"/>
  <c r="AQ133" i="4" s="1"/>
  <c r="T59" i="4"/>
  <c r="AQ59" i="4" s="1"/>
  <c r="B39" i="5"/>
  <c r="W161" i="5" s="1"/>
  <c r="Y161" i="5" s="1"/>
  <c r="T128" i="4"/>
  <c r="AQ128" i="4" s="1"/>
  <c r="T64" i="4"/>
  <c r="AQ64" i="4" s="1"/>
  <c r="T15" i="4"/>
  <c r="AQ15" i="4" s="1"/>
  <c r="T122" i="4"/>
  <c r="AQ122" i="4" s="1"/>
  <c r="T58" i="4"/>
  <c r="AQ58" i="4" s="1"/>
  <c r="T108" i="4"/>
  <c r="AQ108" i="4" s="1"/>
  <c r="T60" i="4"/>
  <c r="AQ60" i="4" s="1"/>
  <c r="T16" i="4"/>
  <c r="AQ16" i="4" s="1"/>
  <c r="T102" i="4"/>
  <c r="AQ102" i="4" s="1"/>
  <c r="T40" i="4"/>
  <c r="AQ40" i="4" s="1"/>
  <c r="T9" i="4"/>
  <c r="AQ9" i="4" s="1"/>
  <c r="T147" i="4"/>
  <c r="AQ147" i="4" s="1"/>
  <c r="T131" i="4"/>
  <c r="AQ131" i="4" s="1"/>
  <c r="T115" i="4"/>
  <c r="AQ115" i="4" s="1"/>
  <c r="T101" i="4"/>
  <c r="AQ101" i="4" s="1"/>
  <c r="T87" i="4"/>
  <c r="AQ87" i="4" s="1"/>
  <c r="T73" i="4"/>
  <c r="T57" i="4"/>
  <c r="AQ57" i="4" s="1"/>
  <c r="T43" i="4"/>
  <c r="AQ43" i="4" s="1"/>
  <c r="T103" i="4"/>
  <c r="AQ103" i="4" s="1"/>
  <c r="T77" i="4"/>
  <c r="AQ77" i="4" s="1"/>
  <c r="T25" i="4"/>
  <c r="AQ25" i="4" s="1"/>
  <c r="T72" i="4"/>
  <c r="AQ72" i="4" s="1"/>
  <c r="T66" i="4"/>
  <c r="AQ66" i="4" s="1"/>
  <c r="T20" i="4"/>
  <c r="AQ20" i="4" s="1"/>
  <c r="T149" i="4"/>
  <c r="AQ149" i="4" s="1"/>
  <c r="T75" i="4"/>
  <c r="AQ75" i="4" s="1"/>
  <c r="T120" i="4"/>
  <c r="AQ120" i="4" s="1"/>
  <c r="T56" i="4"/>
  <c r="AQ56" i="4" s="1"/>
  <c r="T12" i="4"/>
  <c r="AQ12" i="4" s="1"/>
  <c r="T114" i="4"/>
  <c r="AQ114" i="4" s="1"/>
  <c r="T50" i="4"/>
  <c r="AQ50" i="4" s="1"/>
  <c r="T14" i="4"/>
  <c r="AQ14" i="4" s="1"/>
  <c r="T52" i="4"/>
  <c r="AQ52" i="4" s="1"/>
  <c r="T8" i="4"/>
  <c r="AQ8" i="4" s="1"/>
  <c r="T94" i="4"/>
  <c r="AQ94" i="4" s="1"/>
  <c r="T37" i="4"/>
  <c r="AQ37" i="4" s="1"/>
  <c r="T145" i="4"/>
  <c r="AQ145" i="4" s="1"/>
  <c r="T129" i="4"/>
  <c r="AQ129" i="4" s="1"/>
  <c r="T113" i="4"/>
  <c r="AQ113" i="4" s="1"/>
  <c r="T99" i="4"/>
  <c r="AQ99" i="4" s="1"/>
  <c r="T71" i="4"/>
  <c r="AQ71" i="4" s="1"/>
  <c r="T55" i="4"/>
  <c r="AQ55" i="4" s="1"/>
  <c r="T41" i="4"/>
  <c r="AQ41" i="4" s="1"/>
  <c r="T17" i="4"/>
  <c r="AQ17" i="4" s="1"/>
  <c r="T89" i="4"/>
  <c r="AQ89" i="4" s="1"/>
  <c r="O9" i="4"/>
  <c r="T112" i="4"/>
  <c r="AQ112" i="4" s="1"/>
  <c r="T48" i="4"/>
  <c r="AQ48" i="4" s="1"/>
  <c r="T106" i="4"/>
  <c r="AQ106" i="4" s="1"/>
  <c r="T42" i="4"/>
  <c r="AQ42" i="4" s="1"/>
  <c r="T156" i="4"/>
  <c r="AQ156" i="4" s="1"/>
  <c r="T100" i="4"/>
  <c r="AQ100" i="4" s="1"/>
  <c r="T44" i="4"/>
  <c r="AQ44" i="4" s="1"/>
  <c r="T150" i="4"/>
  <c r="AQ150" i="4" s="1"/>
  <c r="T86" i="4"/>
  <c r="AQ86" i="4" s="1"/>
  <c r="T26" i="4"/>
  <c r="AQ26" i="4" s="1"/>
  <c r="T157" i="4"/>
  <c r="AQ157" i="4" s="1"/>
  <c r="T143" i="4"/>
  <c r="AQ143" i="4" s="1"/>
  <c r="T127" i="4"/>
  <c r="AQ127" i="4" s="1"/>
  <c r="T111" i="4"/>
  <c r="AQ111" i="4" s="1"/>
  <c r="T97" i="4"/>
  <c r="AQ97" i="4" s="1"/>
  <c r="T85" i="4"/>
  <c r="AQ85" i="4" s="1"/>
  <c r="T69" i="4"/>
  <c r="AQ69" i="4" s="1"/>
  <c r="T38" i="4"/>
  <c r="AQ38" i="4" s="1"/>
  <c r="T135" i="4"/>
  <c r="AQ135" i="4" s="1"/>
  <c r="T91" i="4"/>
  <c r="AQ91" i="4" s="1"/>
  <c r="T47" i="4"/>
  <c r="AQ47" i="4" s="1"/>
  <c r="B46" i="5"/>
  <c r="T68" i="4"/>
  <c r="AQ68" i="4" s="1"/>
  <c r="T11" i="4"/>
  <c r="AQ11" i="4" s="1"/>
  <c r="T45" i="4"/>
  <c r="AQ45" i="4" s="1"/>
  <c r="T7" i="4"/>
  <c r="AQ7" i="4" s="1"/>
  <c r="T10" i="4"/>
  <c r="AQ10" i="4" s="1"/>
  <c r="T104" i="4"/>
  <c r="AQ104" i="4" s="1"/>
  <c r="T36" i="4"/>
  <c r="AQ36" i="4" s="1"/>
  <c r="T154" i="4"/>
  <c r="AQ154" i="4" s="1"/>
  <c r="T98" i="4"/>
  <c r="AQ98" i="4" s="1"/>
  <c r="T39" i="4"/>
  <c r="AQ39" i="4" s="1"/>
  <c r="T148" i="4"/>
  <c r="AQ148" i="4" s="1"/>
  <c r="T92" i="4"/>
  <c r="AQ92" i="4" s="1"/>
  <c r="T142" i="4"/>
  <c r="AQ142" i="4" s="1"/>
  <c r="T78" i="4"/>
  <c r="AQ78" i="4" s="1"/>
  <c r="T23" i="4"/>
  <c r="AQ23" i="4" s="1"/>
  <c r="T155" i="4"/>
  <c r="AQ155" i="4" s="1"/>
  <c r="T141" i="4"/>
  <c r="T125" i="4"/>
  <c r="AQ125" i="4" s="1"/>
  <c r="T109" i="4"/>
  <c r="AQ109" i="4" s="1"/>
  <c r="T95" i="4"/>
  <c r="AQ95" i="4" s="1"/>
  <c r="T83" i="4"/>
  <c r="AQ83" i="4" s="1"/>
  <c r="T67" i="4"/>
  <c r="AQ67" i="4" s="1"/>
  <c r="T53" i="4"/>
  <c r="AQ53" i="4" s="1"/>
  <c r="B11" i="5"/>
  <c r="T119" i="4"/>
  <c r="AQ119" i="4" s="1"/>
  <c r="T61" i="4"/>
  <c r="AQ61" i="4" s="1"/>
  <c r="T18" i="4"/>
  <c r="AQ18" i="4" s="1"/>
  <c r="T116" i="4"/>
  <c r="AQ116" i="4" s="1"/>
  <c r="T46" i="4"/>
  <c r="AQ46" i="4" s="1"/>
  <c r="T117" i="4"/>
  <c r="AQ117" i="4" s="1"/>
  <c r="T22" i="4"/>
  <c r="AQ22" i="4" s="1"/>
  <c r="B17" i="5"/>
  <c r="P15" i="5" s="1"/>
  <c r="T96" i="4"/>
  <c r="AQ96" i="4" s="1"/>
  <c r="T32" i="4"/>
  <c r="AQ32" i="4" s="1"/>
  <c r="T146" i="4"/>
  <c r="AQ146" i="4" s="1"/>
  <c r="T90" i="4"/>
  <c r="AQ90" i="4" s="1"/>
  <c r="T35" i="4"/>
  <c r="AQ35" i="4" s="1"/>
  <c r="T140" i="4"/>
  <c r="AQ140" i="4" s="1"/>
  <c r="T84" i="4"/>
  <c r="AQ84" i="4" s="1"/>
  <c r="T34" i="4"/>
  <c r="AQ34" i="4" s="1"/>
  <c r="T134" i="4"/>
  <c r="T70" i="4"/>
  <c r="AQ70" i="4" s="1"/>
  <c r="T153" i="4"/>
  <c r="AQ153" i="4" s="1"/>
  <c r="T139" i="4"/>
  <c r="AQ139" i="4" s="1"/>
  <c r="T123" i="4"/>
  <c r="AQ123" i="4" s="1"/>
  <c r="T107" i="4"/>
  <c r="AQ107" i="4" s="1"/>
  <c r="T81" i="4"/>
  <c r="AQ81" i="4" s="1"/>
  <c r="T65" i="4"/>
  <c r="AQ65" i="4" s="1"/>
  <c r="T51" i="4"/>
  <c r="AQ51" i="4" s="1"/>
  <c r="L126" i="2"/>
  <c r="K38" i="5"/>
  <c r="B24" i="5"/>
  <c r="AG80" i="5"/>
  <c r="AG32" i="5"/>
  <c r="AI32" i="5" s="1"/>
  <c r="AG168" i="5"/>
  <c r="AH168" i="5" s="1"/>
  <c r="AG152" i="5"/>
  <c r="AH152" i="5" s="1"/>
  <c r="AG120" i="5"/>
  <c r="AG288" i="5"/>
  <c r="AG272" i="5"/>
  <c r="AI272" i="5" s="1"/>
  <c r="AG248" i="5"/>
  <c r="AH248" i="5" s="1"/>
  <c r="AG224" i="5"/>
  <c r="AH224" i="5" s="1"/>
  <c r="AG416" i="5"/>
  <c r="AG408" i="5"/>
  <c r="AG400" i="5"/>
  <c r="AG320" i="5"/>
  <c r="AG480" i="5"/>
  <c r="AG440" i="5"/>
  <c r="AG424" i="5"/>
  <c r="AG526" i="5"/>
  <c r="AI526" i="5" s="1"/>
  <c r="AG546" i="5"/>
  <c r="AI546" i="5" s="1"/>
  <c r="AG538" i="5"/>
  <c r="AG554" i="5"/>
  <c r="R134" i="4"/>
  <c r="R96" i="4"/>
  <c r="R71" i="4"/>
  <c r="R20" i="4"/>
  <c r="AP109" i="4"/>
  <c r="AP59" i="4"/>
  <c r="AP25" i="4"/>
  <c r="B57" i="5"/>
  <c r="B62" i="5"/>
  <c r="AM272" i="5" s="1"/>
  <c r="R126" i="4"/>
  <c r="R77" i="4"/>
  <c r="R24" i="4"/>
  <c r="R39" i="4"/>
  <c r="AP45" i="4"/>
  <c r="AP104" i="4"/>
  <c r="R91" i="4"/>
  <c r="R69" i="4"/>
  <c r="R148" i="4"/>
  <c r="R21" i="4"/>
  <c r="AP37" i="4"/>
  <c r="AP111" i="4"/>
  <c r="R70" i="4"/>
  <c r="R12" i="4"/>
  <c r="R140" i="4"/>
  <c r="AP128" i="4"/>
  <c r="AP156" i="4"/>
  <c r="B42" i="2"/>
  <c r="B3" i="8"/>
  <c r="AP33" i="4"/>
  <c r="AP58" i="4"/>
  <c r="AP127" i="4"/>
  <c r="AP123" i="4"/>
  <c r="AP148" i="4"/>
  <c r="AP53" i="4"/>
  <c r="AP94" i="4"/>
  <c r="B199" i="2"/>
  <c r="AP81" i="4"/>
  <c r="AP74" i="4"/>
  <c r="AP120" i="4"/>
  <c r="AP20" i="4"/>
  <c r="AP15" i="4"/>
  <c r="AP117" i="4"/>
  <c r="AP142" i="4"/>
  <c r="AP89" i="4"/>
  <c r="AP130" i="4"/>
  <c r="AP11" i="4"/>
  <c r="AP28" i="4"/>
  <c r="AP64" i="4"/>
  <c r="AP133" i="4"/>
  <c r="AP150" i="4"/>
  <c r="AP97" i="4"/>
  <c r="AP138" i="4"/>
  <c r="AP43" i="4"/>
  <c r="AP36" i="4"/>
  <c r="AP88" i="4"/>
  <c r="AP14" i="4"/>
  <c r="AP7" i="4"/>
  <c r="AP153" i="4"/>
  <c r="AP154" i="4"/>
  <c r="AP51" i="4"/>
  <c r="AP92" i="4"/>
  <c r="AP144" i="4"/>
  <c r="AP22" i="4"/>
  <c r="AP32" i="4"/>
  <c r="R10" i="4"/>
  <c r="R135" i="4"/>
  <c r="AP110" i="4"/>
  <c r="AP100" i="4"/>
  <c r="AP26" i="4"/>
  <c r="AP86" i="4"/>
  <c r="AP139" i="4"/>
  <c r="AP10" i="4"/>
  <c r="R19" i="4"/>
  <c r="R30" i="4"/>
  <c r="R100" i="4"/>
  <c r="R14" i="4"/>
  <c r="R95" i="4"/>
  <c r="R9" i="4"/>
  <c r="R93" i="4"/>
  <c r="R157" i="4"/>
  <c r="R86" i="4"/>
  <c r="R150" i="4"/>
  <c r="B191" i="2"/>
  <c r="B192" i="2" s="1"/>
  <c r="B220" i="2" s="1"/>
  <c r="B221" i="2" s="1"/>
  <c r="R23" i="4"/>
  <c r="R44" i="4"/>
  <c r="R108" i="4"/>
  <c r="R38" i="4"/>
  <c r="R103" i="4"/>
  <c r="R18" i="4"/>
  <c r="R101" i="4"/>
  <c r="R22" i="4"/>
  <c r="R94" i="4"/>
  <c r="R8" i="4"/>
  <c r="R27" i="4"/>
  <c r="R52" i="4"/>
  <c r="R116" i="4"/>
  <c r="R47" i="4"/>
  <c r="R111" i="4"/>
  <c r="R45" i="4"/>
  <c r="R109" i="4"/>
  <c r="R40" i="4"/>
  <c r="R102" i="4"/>
  <c r="R35" i="4"/>
  <c r="R68" i="4"/>
  <c r="R132" i="4"/>
  <c r="R63" i="4"/>
  <c r="R127" i="4"/>
  <c r="R61" i="4"/>
  <c r="R125" i="4"/>
  <c r="R54" i="4"/>
  <c r="R118" i="4"/>
  <c r="R7" i="4"/>
  <c r="R37" i="4"/>
  <c r="R73" i="4"/>
  <c r="R137" i="4"/>
  <c r="R66" i="4"/>
  <c r="R130" i="4"/>
  <c r="R64" i="4"/>
  <c r="R128" i="4"/>
  <c r="R59" i="4"/>
  <c r="R123" i="4"/>
  <c r="AG19" i="5"/>
  <c r="AG375" i="5"/>
  <c r="B42" i="5"/>
  <c r="T64" i="5" s="1"/>
  <c r="AG36" i="5"/>
  <c r="AG28" i="5"/>
  <c r="B183" i="2"/>
  <c r="H61" i="1" s="1"/>
  <c r="AG319" i="5"/>
  <c r="AG507" i="5"/>
  <c r="AH507" i="5" s="1"/>
  <c r="AG483" i="5"/>
  <c r="AI483" i="5" s="1"/>
  <c r="AG443" i="5"/>
  <c r="AI443" i="5" s="1"/>
  <c r="AG519" i="5"/>
  <c r="AI519" i="5" s="1"/>
  <c r="AG529" i="5"/>
  <c r="AI529" i="5" s="1"/>
  <c r="AG549" i="5"/>
  <c r="AI549" i="5" s="1"/>
  <c r="AG409" i="5"/>
  <c r="AI409" i="5" s="1"/>
  <c r="AG377" i="5"/>
  <c r="AI377" i="5" s="1"/>
  <c r="AG361" i="5"/>
  <c r="AG353" i="5"/>
  <c r="AI353" i="5" s="1"/>
  <c r="AG547" i="5"/>
  <c r="B62" i="2"/>
  <c r="B66" i="2"/>
  <c r="Q51" i="1"/>
  <c r="B127" i="2"/>
  <c r="B141" i="2"/>
  <c r="K141" i="2" s="1"/>
  <c r="B254" i="2"/>
  <c r="B256" i="2" s="1"/>
  <c r="B163" i="2"/>
  <c r="H47" i="1" s="1"/>
  <c r="K8" i="2"/>
  <c r="B60" i="2"/>
  <c r="B58" i="2"/>
  <c r="B203" i="2"/>
  <c r="H57" i="1"/>
  <c r="B179" i="2" s="1"/>
  <c r="AG8" i="5"/>
  <c r="AG72" i="5"/>
  <c r="AG64" i="5"/>
  <c r="AG48" i="5"/>
  <c r="AG192" i="5"/>
  <c r="AG184" i="5"/>
  <c r="AG160" i="5"/>
  <c r="AG144" i="5"/>
  <c r="AG128" i="5"/>
  <c r="AG312" i="5"/>
  <c r="AG304" i="5"/>
  <c r="AG296" i="5"/>
  <c r="AG280" i="5"/>
  <c r="AG264" i="5"/>
  <c r="AG392" i="5"/>
  <c r="AG384" i="5"/>
  <c r="AG360" i="5"/>
  <c r="AG496" i="5"/>
  <c r="AG488" i="5"/>
  <c r="AG448" i="5"/>
  <c r="AG432" i="5"/>
  <c r="O7" i="5"/>
  <c r="B219" i="2"/>
  <c r="AQ121" i="4"/>
  <c r="B48" i="2"/>
  <c r="B50" i="2"/>
  <c r="B31" i="2" s="1"/>
  <c r="B12" i="5"/>
  <c r="AP41" i="4"/>
  <c r="AP105" i="4"/>
  <c r="AP18" i="4"/>
  <c r="AP82" i="4"/>
  <c r="AP146" i="4"/>
  <c r="AP143" i="4"/>
  <c r="AP136" i="4"/>
  <c r="AP67" i="4"/>
  <c r="AP131" i="4"/>
  <c r="AP44" i="4"/>
  <c r="AP108" i="4"/>
  <c r="AP47" i="4"/>
  <c r="AP112" i="4"/>
  <c r="AP61" i="4"/>
  <c r="AP125" i="4"/>
  <c r="AP38" i="4"/>
  <c r="AP102" i="4"/>
  <c r="AP23" i="4"/>
  <c r="AP96" i="4"/>
  <c r="B48" i="5"/>
  <c r="B205" i="2"/>
  <c r="AP57" i="4"/>
  <c r="AP121" i="4"/>
  <c r="AP34" i="4"/>
  <c r="AP98" i="4"/>
  <c r="AP31" i="4"/>
  <c r="AP24" i="4"/>
  <c r="AP19" i="4"/>
  <c r="AP83" i="4"/>
  <c r="AP147" i="4"/>
  <c r="AP60" i="4"/>
  <c r="AP124" i="4"/>
  <c r="AP103" i="4"/>
  <c r="AP13" i="4"/>
  <c r="AP77" i="4"/>
  <c r="AP141" i="4"/>
  <c r="AP54" i="4"/>
  <c r="AP118" i="4"/>
  <c r="AP63" i="4"/>
  <c r="AP152" i="4"/>
  <c r="O15" i="4"/>
  <c r="K126" i="2"/>
  <c r="M8" i="4"/>
  <c r="AP65" i="4"/>
  <c r="AP129" i="4"/>
  <c r="AP42" i="4"/>
  <c r="AP106" i="4"/>
  <c r="AP55" i="4"/>
  <c r="AP48" i="4"/>
  <c r="AP27" i="4"/>
  <c r="AP91" i="4"/>
  <c r="AP155" i="4"/>
  <c r="AP68" i="4"/>
  <c r="AP132" i="4"/>
  <c r="AP135" i="4"/>
  <c r="AP21" i="4"/>
  <c r="AP85" i="4"/>
  <c r="AP149" i="4"/>
  <c r="AP62" i="4"/>
  <c r="AP126" i="4"/>
  <c r="AP95" i="4"/>
  <c r="J125" i="2"/>
  <c r="AP9" i="4"/>
  <c r="AP73" i="4"/>
  <c r="AP137" i="4"/>
  <c r="AP50" i="4"/>
  <c r="AP114" i="4"/>
  <c r="AP71" i="4"/>
  <c r="AP72" i="4"/>
  <c r="AP35" i="4"/>
  <c r="AP99" i="4"/>
  <c r="AP12" i="4"/>
  <c r="AP76" i="4"/>
  <c r="AP140" i="4"/>
  <c r="AP8" i="4"/>
  <c r="AP29" i="4"/>
  <c r="AP93" i="4"/>
  <c r="AP157" i="4"/>
  <c r="AP70" i="4"/>
  <c r="AP134" i="4"/>
  <c r="AP119" i="4"/>
  <c r="T73" i="5"/>
  <c r="T308" i="5"/>
  <c r="T65" i="5"/>
  <c r="AG103" i="5"/>
  <c r="AG79" i="5"/>
  <c r="AG55" i="5"/>
  <c r="AG47" i="5"/>
  <c r="AG31" i="5"/>
  <c r="AG23" i="5"/>
  <c r="AG199" i="5"/>
  <c r="AG175" i="5"/>
  <c r="AG127" i="5"/>
  <c r="AG219" i="5"/>
  <c r="AG255" i="5"/>
  <c r="AG383" i="5"/>
  <c r="AG359" i="5"/>
  <c r="AG335" i="5"/>
  <c r="AG327" i="5"/>
  <c r="AG419" i="5"/>
  <c r="AG495" i="5"/>
  <c r="AG487" i="5"/>
  <c r="AG463" i="5"/>
  <c r="AG455" i="5"/>
  <c r="AG525" i="5"/>
  <c r="AG545" i="5"/>
  <c r="AP151" i="4"/>
  <c r="AP78" i="4"/>
  <c r="AP101" i="4"/>
  <c r="AP40" i="4"/>
  <c r="AP84" i="4"/>
  <c r="AP107" i="4"/>
  <c r="AP80" i="4"/>
  <c r="AP122" i="4"/>
  <c r="AP145" i="4"/>
  <c r="AP17" i="4"/>
  <c r="B39" i="2"/>
  <c r="H17" i="1" s="1"/>
  <c r="B189" i="2"/>
  <c r="P7" i="5" s="1"/>
  <c r="B197" i="2"/>
  <c r="B198" i="2" s="1"/>
  <c r="R25" i="4"/>
  <c r="R41" i="4"/>
  <c r="R49" i="4"/>
  <c r="R81" i="4"/>
  <c r="R113" i="4"/>
  <c r="R145" i="4"/>
  <c r="R42" i="4"/>
  <c r="R74" i="4"/>
  <c r="R106" i="4"/>
  <c r="R138" i="4"/>
  <c r="R32" i="4"/>
  <c r="R72" i="4"/>
  <c r="R104" i="4"/>
  <c r="R136" i="4"/>
  <c r="R26" i="4"/>
  <c r="R67" i="4"/>
  <c r="R99" i="4"/>
  <c r="R131" i="4"/>
  <c r="R13" i="4"/>
  <c r="B44" i="2"/>
  <c r="R29" i="4"/>
  <c r="R28" i="4"/>
  <c r="R57" i="4"/>
  <c r="R89" i="4"/>
  <c r="R121" i="4"/>
  <c r="R153" i="4"/>
  <c r="R50" i="4"/>
  <c r="R82" i="4"/>
  <c r="R114" i="4"/>
  <c r="R146" i="4"/>
  <c r="R48" i="4"/>
  <c r="R80" i="4"/>
  <c r="R112" i="4"/>
  <c r="R144" i="4"/>
  <c r="R43" i="4"/>
  <c r="R75" i="4"/>
  <c r="R107" i="4"/>
  <c r="R139" i="4"/>
  <c r="B52" i="2"/>
  <c r="B33" i="2" s="1"/>
  <c r="R15" i="4"/>
  <c r="R31" i="4"/>
  <c r="R36" i="4"/>
  <c r="R60" i="4"/>
  <c r="R92" i="4"/>
  <c r="R124" i="4"/>
  <c r="R156" i="4"/>
  <c r="R55" i="4"/>
  <c r="R87" i="4"/>
  <c r="R119" i="4"/>
  <c r="R151" i="4"/>
  <c r="R53" i="4"/>
  <c r="R85" i="4"/>
  <c r="R117" i="4"/>
  <c r="R149" i="4"/>
  <c r="R46" i="4"/>
  <c r="R78" i="4"/>
  <c r="R110" i="4"/>
  <c r="R142" i="4"/>
  <c r="B161" i="2"/>
  <c r="H45" i="1" s="1"/>
  <c r="B55" i="2"/>
  <c r="B68" i="2"/>
  <c r="R17" i="4"/>
  <c r="R33" i="4"/>
  <c r="R16" i="4"/>
  <c r="R65" i="4"/>
  <c r="R97" i="4"/>
  <c r="R129" i="4"/>
  <c r="R11" i="4"/>
  <c r="R58" i="4"/>
  <c r="R90" i="4"/>
  <c r="R122" i="4"/>
  <c r="R154" i="4"/>
  <c r="R56" i="4"/>
  <c r="R88" i="4"/>
  <c r="R120" i="4"/>
  <c r="R152" i="4"/>
  <c r="R51" i="4"/>
  <c r="R83" i="4"/>
  <c r="R115" i="4"/>
  <c r="R147" i="4"/>
  <c r="B185" i="2"/>
  <c r="J126" i="2"/>
  <c r="B29" i="5"/>
  <c r="B202" i="2"/>
  <c r="AP39" i="4"/>
  <c r="AP46" i="4"/>
  <c r="AP69" i="4"/>
  <c r="AP79" i="4"/>
  <c r="AP52" i="4"/>
  <c r="AP75" i="4"/>
  <c r="AP16" i="4"/>
  <c r="AP90" i="4"/>
  <c r="AP113" i="4"/>
  <c r="AG38" i="5"/>
  <c r="AG42" i="5"/>
  <c r="AG93" i="5"/>
  <c r="AG121" i="5"/>
  <c r="AG92" i="5"/>
  <c r="AG153" i="5"/>
  <c r="AG165" i="5"/>
  <c r="AG218" i="5"/>
  <c r="AG164" i="5"/>
  <c r="AG229" i="5"/>
  <c r="AG233" i="5"/>
  <c r="AG273" i="5"/>
  <c r="AG301" i="5"/>
  <c r="AG324" i="5"/>
  <c r="AG250" i="5"/>
  <c r="AG281" i="5"/>
  <c r="AG313" i="5"/>
  <c r="AG284" i="5"/>
  <c r="AG321" i="5"/>
  <c r="AG396" i="5"/>
  <c r="AG346" i="5"/>
  <c r="AG438" i="5"/>
  <c r="AG510" i="5"/>
  <c r="AG370" i="5"/>
  <c r="AG516" i="5"/>
  <c r="AG474" i="5"/>
  <c r="AG548" i="5"/>
  <c r="AG380" i="5"/>
  <c r="AG426" i="5"/>
  <c r="AG523" i="5"/>
  <c r="AG544" i="5"/>
  <c r="AG94" i="5"/>
  <c r="AG101" i="5"/>
  <c r="AG158" i="5"/>
  <c r="AG140" i="5"/>
  <c r="AG212" i="5"/>
  <c r="AG252" i="5"/>
  <c r="AG274" i="5"/>
  <c r="AG306" i="5"/>
  <c r="AG332" i="5"/>
  <c r="AG258" i="5"/>
  <c r="AG348" i="5"/>
  <c r="AG290" i="5"/>
  <c r="AG406" i="5"/>
  <c r="AG372" i="5"/>
  <c r="AG405" i="5"/>
  <c r="AG350" i="5"/>
  <c r="AG485" i="5"/>
  <c r="AG517" i="5"/>
  <c r="AG452" i="5"/>
  <c r="AG477" i="5"/>
  <c r="AG506" i="5"/>
  <c r="AG540" i="5"/>
  <c r="AG428" i="5"/>
  <c r="AG22" i="5"/>
  <c r="AG77" i="5"/>
  <c r="AG109" i="5"/>
  <c r="AG181" i="5"/>
  <c r="AG157" i="5"/>
  <c r="AG154" i="5"/>
  <c r="AG234" i="5"/>
  <c r="AG238" i="5"/>
  <c r="AG205" i="5"/>
  <c r="AG270" i="5"/>
  <c r="AG354" i="5"/>
  <c r="AG330" i="5"/>
  <c r="AG394" i="5"/>
  <c r="AG381" i="5"/>
  <c r="AG390" i="5"/>
  <c r="AG493" i="5"/>
  <c r="AG458" i="5"/>
  <c r="AG302" i="5"/>
  <c r="AG551" i="5"/>
  <c r="AG520" i="5"/>
  <c r="AG365" i="5"/>
  <c r="AG556" i="5"/>
  <c r="AG29" i="5"/>
  <c r="AG34" i="5"/>
  <c r="AG69" i="5"/>
  <c r="AG78" i="5"/>
  <c r="AG182" i="5"/>
  <c r="AG190" i="5"/>
  <c r="AG314" i="5"/>
  <c r="AG261" i="5"/>
  <c r="AG356" i="5"/>
  <c r="AG397" i="5"/>
  <c r="AG421" i="5"/>
  <c r="AG262" i="5"/>
  <c r="AG340" i="5"/>
  <c r="AG386" i="5"/>
  <c r="AG410" i="5"/>
  <c r="AG402" i="5"/>
  <c r="AG412" i="5"/>
  <c r="AG486" i="5"/>
  <c r="AG528" i="5"/>
  <c r="AG454" i="5"/>
  <c r="AG37" i="5"/>
  <c r="AG58" i="5"/>
  <c r="AG82" i="5"/>
  <c r="AG148" i="5"/>
  <c r="AG146" i="5"/>
  <c r="AG178" i="5"/>
  <c r="AG149" i="5"/>
  <c r="AG162" i="5"/>
  <c r="AG194" i="5"/>
  <c r="AG245" i="5"/>
  <c r="AG260" i="5"/>
  <c r="AG278" i="5"/>
  <c r="AG300" i="5"/>
  <c r="AG398" i="5"/>
  <c r="AG202" i="5"/>
  <c r="AG466" i="5"/>
  <c r="AG294" i="5"/>
  <c r="AG434" i="5"/>
  <c r="AG462" i="5"/>
  <c r="AG498" i="5"/>
  <c r="AG531" i="5"/>
  <c r="AG476" i="5"/>
  <c r="AG552" i="5"/>
  <c r="B4" i="8"/>
  <c r="B64" i="2"/>
  <c r="B46" i="2"/>
  <c r="B61" i="5"/>
  <c r="B171" i="2"/>
  <c r="H52" i="1" s="1"/>
  <c r="B173" i="2"/>
  <c r="AG527" i="5"/>
  <c r="AG363" i="5"/>
  <c r="AG497" i="5"/>
  <c r="AG305" i="5"/>
  <c r="AG387" i="5"/>
  <c r="AG355" i="5"/>
  <c r="AG267" i="5"/>
  <c r="AG119" i="5"/>
  <c r="AG113" i="5"/>
  <c r="AG97" i="5"/>
  <c r="AG81" i="5"/>
  <c r="AG521" i="5"/>
  <c r="AG337" i="5"/>
  <c r="AG283" i="5"/>
  <c r="AG257" i="5"/>
  <c r="AG131" i="5"/>
  <c r="AG25" i="5"/>
  <c r="B64" i="5"/>
  <c r="AJ64" i="5" s="1"/>
  <c r="AG457" i="5"/>
  <c r="AG491" i="5"/>
  <c r="AG379" i="5"/>
  <c r="AG129" i="5"/>
  <c r="AG51" i="5"/>
  <c r="T51" i="5"/>
  <c r="AG91" i="5"/>
  <c r="AI265" i="5" l="1"/>
  <c r="AG115" i="5"/>
  <c r="AI115" i="5" s="1"/>
  <c r="AI168" i="5"/>
  <c r="AH85" i="5"/>
  <c r="AG167" i="5"/>
  <c r="T75" i="5"/>
  <c r="T31" i="5"/>
  <c r="AH479" i="5"/>
  <c r="AI163" i="5"/>
  <c r="AG481" i="5"/>
  <c r="AI481" i="5" s="1"/>
  <c r="AG442" i="5"/>
  <c r="AI442" i="5" s="1"/>
  <c r="AH71" i="5"/>
  <c r="AG468" i="5"/>
  <c r="AH468" i="5" s="1"/>
  <c r="AM235" i="5"/>
  <c r="AM476" i="5"/>
  <c r="AM540" i="5"/>
  <c r="AH322" i="5"/>
  <c r="AG204" i="5"/>
  <c r="AH204" i="5" s="1"/>
  <c r="AM41" i="5"/>
  <c r="AG555" i="5"/>
  <c r="AH555" i="5" s="1"/>
  <c r="AG537" i="5"/>
  <c r="AH537" i="5" s="1"/>
  <c r="AM482" i="5"/>
  <c r="AM93" i="5"/>
  <c r="AM508" i="5"/>
  <c r="AM66" i="5"/>
  <c r="AM105" i="5"/>
  <c r="AM253" i="5"/>
  <c r="AM459" i="5"/>
  <c r="AM395" i="5"/>
  <c r="AM362" i="5"/>
  <c r="AN362" i="5" s="1"/>
  <c r="AM348" i="5"/>
  <c r="AM115" i="5"/>
  <c r="AI132" i="5"/>
  <c r="AI251" i="5"/>
  <c r="AG39" i="5"/>
  <c r="AH39" i="5" s="1"/>
  <c r="AG68" i="5"/>
  <c r="AH529" i="5"/>
  <c r="AH442" i="5"/>
  <c r="AG211" i="5"/>
  <c r="AI211" i="5" s="1"/>
  <c r="AG499" i="5"/>
  <c r="AH499" i="5" s="1"/>
  <c r="AI511" i="5"/>
  <c r="AG404" i="5"/>
  <c r="AG70" i="5"/>
  <c r="AG341" i="5"/>
  <c r="AI341" i="5" s="1"/>
  <c r="AG524" i="5"/>
  <c r="AG189" i="5"/>
  <c r="AI189" i="5" s="1"/>
  <c r="AG418" i="5"/>
  <c r="AG134" i="5"/>
  <c r="AG417" i="5"/>
  <c r="AH417" i="5" s="1"/>
  <c r="AG133" i="5"/>
  <c r="AH272" i="5"/>
  <c r="AG351" i="5"/>
  <c r="AG87" i="5"/>
  <c r="AG464" i="5"/>
  <c r="AG176" i="5"/>
  <c r="AH176" i="5" s="1"/>
  <c r="AG459" i="5"/>
  <c r="AI459" i="5" s="1"/>
  <c r="AG534" i="5"/>
  <c r="AH534" i="5" s="1"/>
  <c r="AG136" i="5"/>
  <c r="AH136" i="5" s="1"/>
  <c r="AG220" i="5"/>
  <c r="AH220" i="5" s="1"/>
  <c r="AG123" i="5"/>
  <c r="AI123" i="5" s="1"/>
  <c r="AG275" i="5"/>
  <c r="AH275" i="5" s="1"/>
  <c r="AG311" i="5"/>
  <c r="AG213" i="5"/>
  <c r="AH213" i="5" s="1"/>
  <c r="AG155" i="5"/>
  <c r="AI155" i="5" s="1"/>
  <c r="AG122" i="5"/>
  <c r="AI122" i="5" s="1"/>
  <c r="AG74" i="5"/>
  <c r="AI206" i="5"/>
  <c r="AJ187" i="5"/>
  <c r="AG299" i="5"/>
  <c r="AI299" i="5" s="1"/>
  <c r="AG557" i="5"/>
  <c r="AG364" i="5"/>
  <c r="AI364" i="5" s="1"/>
  <c r="AG30" i="5"/>
  <c r="AH30" i="5" s="1"/>
  <c r="AG276" i="5"/>
  <c r="AG422" i="5"/>
  <c r="AG173" i="5"/>
  <c r="AH173" i="5" s="1"/>
  <c r="AG326" i="5"/>
  <c r="AI326" i="5" s="1"/>
  <c r="AG26" i="5"/>
  <c r="AI26" i="5" s="1"/>
  <c r="AG436" i="5"/>
  <c r="AI436" i="5" s="1"/>
  <c r="AG110" i="5"/>
  <c r="AI224" i="5"/>
  <c r="AI186" i="5"/>
  <c r="AG223" i="5"/>
  <c r="AG512" i="5"/>
  <c r="AH512" i="5" s="1"/>
  <c r="AG216" i="5"/>
  <c r="AI216" i="5" s="1"/>
  <c r="AG347" i="5"/>
  <c r="AI347" i="5" s="1"/>
  <c r="AG456" i="5"/>
  <c r="AH456" i="5" s="1"/>
  <c r="AG200" i="5"/>
  <c r="AI200" i="5" s="1"/>
  <c r="AG289" i="5"/>
  <c r="AH289" i="5" s="1"/>
  <c r="AG292" i="5"/>
  <c r="AG242" i="5"/>
  <c r="AH242" i="5" s="1"/>
  <c r="AG187" i="5"/>
  <c r="AH187" i="5" s="1"/>
  <c r="AG298" i="5"/>
  <c r="AG196" i="5"/>
  <c r="AH196" i="5" s="1"/>
  <c r="AG277" i="5"/>
  <c r="AI277" i="5" s="1"/>
  <c r="AG247" i="5"/>
  <c r="AG125" i="5"/>
  <c r="AG151" i="5"/>
  <c r="AH151" i="5" s="1"/>
  <c r="AG99" i="5"/>
  <c r="AH99" i="5" s="1"/>
  <c r="AG451" i="5"/>
  <c r="AI451" i="5" s="1"/>
  <c r="AG535" i="5"/>
  <c r="AH535" i="5" s="1"/>
  <c r="AG338" i="5"/>
  <c r="AG558" i="5"/>
  <c r="AG210" i="5"/>
  <c r="AG522" i="5"/>
  <c r="AH522" i="5" s="1"/>
  <c r="AG138" i="5"/>
  <c r="AG437" i="5"/>
  <c r="AI437" i="5" s="1"/>
  <c r="AG45" i="5"/>
  <c r="AG378" i="5"/>
  <c r="AG130" i="5"/>
  <c r="AI130" i="5" s="1"/>
  <c r="AI124" i="5"/>
  <c r="AG239" i="5"/>
  <c r="AG328" i="5"/>
  <c r="AG24" i="5"/>
  <c r="AG403" i="5"/>
  <c r="AI403" i="5" s="1"/>
  <c r="AG472" i="5"/>
  <c r="AH472" i="5" s="1"/>
  <c r="AG208" i="5"/>
  <c r="AH208" i="5" s="1"/>
  <c r="AG297" i="5"/>
  <c r="AI297" i="5" s="1"/>
  <c r="AG303" i="5"/>
  <c r="AI303" i="5" s="1"/>
  <c r="AG249" i="5"/>
  <c r="AH249" i="5" s="1"/>
  <c r="AG195" i="5"/>
  <c r="AG339" i="5"/>
  <c r="AI339" i="5" s="1"/>
  <c r="AG343" i="5"/>
  <c r="AH343" i="5" s="1"/>
  <c r="AG266" i="5"/>
  <c r="AI266" i="5" s="1"/>
  <c r="AG230" i="5"/>
  <c r="AG172" i="5"/>
  <c r="AH172" i="5" s="1"/>
  <c r="AG427" i="5"/>
  <c r="AH427" i="5" s="1"/>
  <c r="AG401" i="5"/>
  <c r="AI401" i="5" s="1"/>
  <c r="AG253" i="5"/>
  <c r="AH253" i="5" s="1"/>
  <c r="AG293" i="5"/>
  <c r="AG207" i="5"/>
  <c r="AJ521" i="5"/>
  <c r="AK521" i="5" s="1"/>
  <c r="AG473" i="5"/>
  <c r="AI473" i="5" s="1"/>
  <c r="AI84" i="5"/>
  <c r="AG117" i="5"/>
  <c r="AG444" i="5"/>
  <c r="AI444" i="5" s="1"/>
  <c r="AG221" i="5"/>
  <c r="AI221" i="5" s="1"/>
  <c r="AG450" i="5"/>
  <c r="AH450" i="5" s="1"/>
  <c r="AG126" i="5"/>
  <c r="AH126" i="5" s="1"/>
  <c r="AG382" i="5"/>
  <c r="AG449" i="5"/>
  <c r="AI449" i="5" s="1"/>
  <c r="AG345" i="5"/>
  <c r="AG89" i="5"/>
  <c r="AG553" i="5"/>
  <c r="AH553" i="5" s="1"/>
  <c r="AG287" i="5"/>
  <c r="AH287" i="5" s="1"/>
  <c r="AG368" i="5"/>
  <c r="AI368" i="5" s="1"/>
  <c r="AG56" i="5"/>
  <c r="AH56" i="5" s="1"/>
  <c r="AG504" i="5"/>
  <c r="AH504" i="5" s="1"/>
  <c r="AG40" i="5"/>
  <c r="AI40" i="5" s="1"/>
  <c r="AG177" i="5"/>
  <c r="AI177" i="5" s="1"/>
  <c r="AG180" i="5"/>
  <c r="AH180" i="5" s="1"/>
  <c r="AG308" i="5"/>
  <c r="AH308" i="5" s="1"/>
  <c r="AG35" i="5"/>
  <c r="AH35" i="5" s="1"/>
  <c r="AG518" i="5"/>
  <c r="AG362" i="5"/>
  <c r="AH362" i="5" s="1"/>
  <c r="AG349" i="5"/>
  <c r="AH349" i="5" s="1"/>
  <c r="AG279" i="5"/>
  <c r="AH279" i="5" s="1"/>
  <c r="AG236" i="5"/>
  <c r="AI236" i="5" s="1"/>
  <c r="AG185" i="5"/>
  <c r="AI185" i="5" s="1"/>
  <c r="AG407" i="5"/>
  <c r="AI407" i="5" s="1"/>
  <c r="AG307" i="5"/>
  <c r="AH307" i="5" s="1"/>
  <c r="AG67" i="5"/>
  <c r="AG515" i="5"/>
  <c r="AG373" i="5"/>
  <c r="AI373" i="5" s="1"/>
  <c r="AG415" i="5"/>
  <c r="AI415" i="5" s="1"/>
  <c r="AG269" i="5"/>
  <c r="AH269" i="5" s="1"/>
  <c r="AG295" i="5"/>
  <c r="AG367" i="5"/>
  <c r="AG174" i="5"/>
  <c r="AH174" i="5" s="1"/>
  <c r="AH414" i="5"/>
  <c r="AH475" i="5"/>
  <c r="AG88" i="5"/>
  <c r="AH88" i="5" s="1"/>
  <c r="AG334" i="5"/>
  <c r="AI334" i="5" s="1"/>
  <c r="AG514" i="5"/>
  <c r="AG282" i="5"/>
  <c r="AG560" i="5"/>
  <c r="AI560" i="5" s="1"/>
  <c r="AG214" i="5"/>
  <c r="AH214" i="5" s="1"/>
  <c r="AG460" i="5"/>
  <c r="AI460" i="5" s="1"/>
  <c r="AG118" i="5"/>
  <c r="AG333" i="5"/>
  <c r="AG20" i="5"/>
  <c r="AH20" i="5" s="1"/>
  <c r="AG318" i="5"/>
  <c r="AG536" i="5"/>
  <c r="AG237" i="5"/>
  <c r="AG66" i="5"/>
  <c r="AI66" i="5" s="1"/>
  <c r="AG533" i="5"/>
  <c r="AG135" i="5"/>
  <c r="AH135" i="5" s="1"/>
  <c r="AG232" i="5"/>
  <c r="AG96" i="5"/>
  <c r="AG425" i="5"/>
  <c r="AI425" i="5" s="1"/>
  <c r="AG44" i="5"/>
  <c r="AG344" i="5"/>
  <c r="AI344" i="5" s="1"/>
  <c r="AG201" i="5"/>
  <c r="AI201" i="5" s="1"/>
  <c r="AG502" i="5"/>
  <c r="AH502" i="5" s="1"/>
  <c r="AG268" i="5"/>
  <c r="AG83" i="5"/>
  <c r="AG539" i="5"/>
  <c r="AI539" i="5" s="1"/>
  <c r="AG357" i="5"/>
  <c r="AH357" i="5" s="1"/>
  <c r="AG385" i="5"/>
  <c r="AH385" i="5" s="1"/>
  <c r="AG429" i="5"/>
  <c r="AI429" i="5" s="1"/>
  <c r="AG271" i="5"/>
  <c r="AG336" i="5"/>
  <c r="AH336" i="5" s="1"/>
  <c r="AG193" i="5"/>
  <c r="AH193" i="5" s="1"/>
  <c r="AG75" i="5"/>
  <c r="AH75" i="5" s="1"/>
  <c r="AG445" i="5"/>
  <c r="AH445" i="5" s="1"/>
  <c r="AG217" i="5"/>
  <c r="AI217" i="5" s="1"/>
  <c r="AG259" i="5"/>
  <c r="AH259" i="5" s="1"/>
  <c r="AG461" i="5"/>
  <c r="AG222" i="5"/>
  <c r="AG530" i="5"/>
  <c r="AI530" i="5" s="1"/>
  <c r="AG142" i="5"/>
  <c r="AG226" i="5"/>
  <c r="AH226" i="5" s="1"/>
  <c r="AG21" i="5"/>
  <c r="AG285" i="5"/>
  <c r="AI285" i="5" s="1"/>
  <c r="AG542" i="5"/>
  <c r="AG316" i="5"/>
  <c r="AI316" i="5" s="1"/>
  <c r="AG65" i="5"/>
  <c r="AI65" i="5" s="1"/>
  <c r="AG439" i="5"/>
  <c r="AH439" i="5" s="1"/>
  <c r="AG143" i="5"/>
  <c r="AG240" i="5"/>
  <c r="AG104" i="5"/>
  <c r="AI104" i="5" s="1"/>
  <c r="AG441" i="5"/>
  <c r="AI441" i="5" s="1"/>
  <c r="AG352" i="5"/>
  <c r="AI352" i="5" s="1"/>
  <c r="AG209" i="5"/>
  <c r="AI209" i="5" s="1"/>
  <c r="AG490" i="5"/>
  <c r="AI490" i="5" s="1"/>
  <c r="AG317" i="5"/>
  <c r="AI317" i="5" s="1"/>
  <c r="AG50" i="5"/>
  <c r="AH50" i="5" s="1"/>
  <c r="AG413" i="5"/>
  <c r="AH413" i="5" s="1"/>
  <c r="AG423" i="5"/>
  <c r="AH423" i="5" s="1"/>
  <c r="AG469" i="5"/>
  <c r="AI469" i="5" s="1"/>
  <c r="AG391" i="5"/>
  <c r="AI391" i="5" s="1"/>
  <c r="AG231" i="5"/>
  <c r="AH231" i="5" s="1"/>
  <c r="AI61" i="5"/>
  <c r="AG291" i="5"/>
  <c r="AH291" i="5" s="1"/>
  <c r="AG389" i="5"/>
  <c r="AG166" i="5"/>
  <c r="AH166" i="5" s="1"/>
  <c r="AG494" i="5"/>
  <c r="AI494" i="5" s="1"/>
  <c r="AG141" i="5"/>
  <c r="AH141" i="5" s="1"/>
  <c r="AG420" i="5"/>
  <c r="AI420" i="5" s="1"/>
  <c r="AG470" i="5"/>
  <c r="AG244" i="5"/>
  <c r="AH244" i="5" s="1"/>
  <c r="AG492" i="5"/>
  <c r="AG286" i="5"/>
  <c r="AH286" i="5" s="1"/>
  <c r="AG54" i="5"/>
  <c r="AH54" i="5" s="1"/>
  <c r="AG447" i="5"/>
  <c r="AI447" i="5" s="1"/>
  <c r="AG159" i="5"/>
  <c r="AG256" i="5"/>
  <c r="AH256" i="5" s="1"/>
  <c r="AG112" i="5"/>
  <c r="AG513" i="5"/>
  <c r="AI513" i="5" s="1"/>
  <c r="AG503" i="5"/>
  <c r="AG376" i="5"/>
  <c r="AI376" i="5" s="1"/>
  <c r="AI471" i="5"/>
  <c r="AG41" i="5"/>
  <c r="AH41" i="5" s="1"/>
  <c r="AG478" i="5"/>
  <c r="AH478" i="5" s="1"/>
  <c r="AG371" i="5"/>
  <c r="AH371" i="5" s="1"/>
  <c r="AG73" i="5"/>
  <c r="AH73" i="5" s="1"/>
  <c r="AG100" i="5"/>
  <c r="AG550" i="5"/>
  <c r="AH550" i="5" s="1"/>
  <c r="AG435" i="5"/>
  <c r="AG411" i="5"/>
  <c r="AI411" i="5" s="1"/>
  <c r="AM234" i="5"/>
  <c r="AJ307" i="5"/>
  <c r="AK307" i="5" s="1"/>
  <c r="AM530" i="5"/>
  <c r="AM445" i="5"/>
  <c r="AM332" i="5"/>
  <c r="AM370" i="5"/>
  <c r="AM251" i="5"/>
  <c r="AM285" i="5"/>
  <c r="AM189" i="5"/>
  <c r="AJ283" i="5"/>
  <c r="AL283" i="5" s="1"/>
  <c r="AM436" i="5"/>
  <c r="AM69" i="5"/>
  <c r="AM486" i="5"/>
  <c r="AM525" i="5"/>
  <c r="AM498" i="5"/>
  <c r="AM449" i="5"/>
  <c r="AN449" i="5" s="1"/>
  <c r="AM365" i="5"/>
  <c r="AM519" i="5"/>
  <c r="AM258" i="5"/>
  <c r="AM135" i="5"/>
  <c r="AN135" i="5" s="1"/>
  <c r="AM133" i="5"/>
  <c r="AM549" i="5"/>
  <c r="AM409" i="5"/>
  <c r="AM113" i="5"/>
  <c r="AM347" i="5"/>
  <c r="AM500" i="5"/>
  <c r="AM485" i="5"/>
  <c r="AM334" i="5"/>
  <c r="AM238" i="5"/>
  <c r="AN238" i="5" s="1"/>
  <c r="AM29" i="5"/>
  <c r="AN29" i="5" s="1"/>
  <c r="AM426" i="5"/>
  <c r="AM322" i="5"/>
  <c r="AM53" i="5"/>
  <c r="AM454" i="5"/>
  <c r="AM286" i="5"/>
  <c r="AM186" i="5"/>
  <c r="AN186" i="5" s="1"/>
  <c r="AM62" i="5"/>
  <c r="AO62" i="5" s="1"/>
  <c r="AM493" i="5"/>
  <c r="AM222" i="5"/>
  <c r="AM492" i="5"/>
  <c r="AN492" i="5" s="1"/>
  <c r="AM326" i="5"/>
  <c r="AM68" i="5"/>
  <c r="AM487" i="5"/>
  <c r="AM496" i="5"/>
  <c r="AH377" i="5"/>
  <c r="AM263" i="5"/>
  <c r="AM554" i="5"/>
  <c r="AM243" i="5"/>
  <c r="AM388" i="5"/>
  <c r="AM520" i="5"/>
  <c r="AN520" i="5" s="1"/>
  <c r="AM346" i="5"/>
  <c r="AM173" i="5"/>
  <c r="AM550" i="5"/>
  <c r="AN550" i="5" s="1"/>
  <c r="AM458" i="5"/>
  <c r="AM298" i="5"/>
  <c r="AM38" i="5"/>
  <c r="AN38" i="5" s="1"/>
  <c r="AM484" i="5"/>
  <c r="AM389" i="5"/>
  <c r="AM204" i="5"/>
  <c r="AM28" i="5"/>
  <c r="AO28" i="5" s="1"/>
  <c r="AM397" i="5"/>
  <c r="AO397" i="5" s="1"/>
  <c r="AM141" i="5"/>
  <c r="AM394" i="5"/>
  <c r="AM161" i="5"/>
  <c r="AM431" i="5"/>
  <c r="AM495" i="5"/>
  <c r="AM359" i="5"/>
  <c r="AM546" i="5"/>
  <c r="AM24" i="5"/>
  <c r="AN24" i="5" s="1"/>
  <c r="AM457" i="5"/>
  <c r="AO457" i="5" s="1"/>
  <c r="AM129" i="5"/>
  <c r="AO129" i="5" s="1"/>
  <c r="AM211" i="5"/>
  <c r="AO211" i="5" s="1"/>
  <c r="AM410" i="5"/>
  <c r="AM270" i="5"/>
  <c r="AM430" i="5"/>
  <c r="AN430" i="5" s="1"/>
  <c r="AM58" i="5"/>
  <c r="AN58" i="5" s="1"/>
  <c r="AM198" i="5"/>
  <c r="AM31" i="5"/>
  <c r="AM72" i="5"/>
  <c r="AM289" i="5"/>
  <c r="AO289" i="5" s="1"/>
  <c r="AM155" i="5"/>
  <c r="AM83" i="5"/>
  <c r="AM299" i="5"/>
  <c r="AM396" i="5"/>
  <c r="AO396" i="5" s="1"/>
  <c r="AM434" i="5"/>
  <c r="AM306" i="5"/>
  <c r="AM122" i="5"/>
  <c r="AM437" i="5"/>
  <c r="AM354" i="5"/>
  <c r="AM282" i="5"/>
  <c r="AN282" i="5" s="1"/>
  <c r="AM26" i="5"/>
  <c r="AM462" i="5"/>
  <c r="AO462" i="5" s="1"/>
  <c r="AM293" i="5"/>
  <c r="AM205" i="5"/>
  <c r="AM42" i="5"/>
  <c r="AO42" i="5" s="1"/>
  <c r="AM374" i="5"/>
  <c r="AM149" i="5"/>
  <c r="AM422" i="5"/>
  <c r="AM194" i="5"/>
  <c r="AM311" i="5"/>
  <c r="AO311" i="5" s="1"/>
  <c r="AM175" i="5"/>
  <c r="AM32" i="5"/>
  <c r="AM465" i="5"/>
  <c r="AN465" i="5" s="1"/>
  <c r="AM145" i="5"/>
  <c r="AN145" i="5" s="1"/>
  <c r="AM324" i="5"/>
  <c r="AM556" i="5"/>
  <c r="AM438" i="5"/>
  <c r="AM61" i="5"/>
  <c r="AO61" i="5" s="1"/>
  <c r="AM418" i="5"/>
  <c r="AM514" i="5"/>
  <c r="AO514" i="5" s="1"/>
  <c r="AM157" i="5"/>
  <c r="AM423" i="5"/>
  <c r="AM128" i="5"/>
  <c r="AM225" i="5"/>
  <c r="AN225" i="5" s="1"/>
  <c r="AM369" i="5"/>
  <c r="AO369" i="5" s="1"/>
  <c r="AM450" i="5"/>
  <c r="AN450" i="5" s="1"/>
  <c r="AM506" i="5"/>
  <c r="AM262" i="5"/>
  <c r="AM109" i="5"/>
  <c r="AN109" i="5" s="1"/>
  <c r="AM536" i="5"/>
  <c r="AN536" i="5" s="1"/>
  <c r="AM349" i="5"/>
  <c r="AM261" i="5"/>
  <c r="AM372" i="5"/>
  <c r="AM412" i="5"/>
  <c r="AO412" i="5" s="1"/>
  <c r="AM404" i="5"/>
  <c r="AM162" i="5"/>
  <c r="AM552" i="5"/>
  <c r="AM413" i="5"/>
  <c r="AM85" i="5"/>
  <c r="AO85" i="5" s="1"/>
  <c r="AM340" i="5"/>
  <c r="AO340" i="5" s="1"/>
  <c r="AM197" i="5"/>
  <c r="AO197" i="5" s="1"/>
  <c r="AM447" i="5"/>
  <c r="AN447" i="5" s="1"/>
  <c r="AM383" i="5"/>
  <c r="AM360" i="5"/>
  <c r="AM48" i="5"/>
  <c r="AO48" i="5" s="1"/>
  <c r="AM435" i="5"/>
  <c r="AN435" i="5" s="1"/>
  <c r="AM130" i="5"/>
  <c r="AM302" i="5"/>
  <c r="AM228" i="5"/>
  <c r="AO228" i="5" s="1"/>
  <c r="AM444" i="5"/>
  <c r="AO444" i="5" s="1"/>
  <c r="AM136" i="5"/>
  <c r="AO136" i="5" s="1"/>
  <c r="AM185" i="5"/>
  <c r="AM131" i="5"/>
  <c r="AM195" i="5"/>
  <c r="AM281" i="5"/>
  <c r="AM169" i="5"/>
  <c r="AJ539" i="5"/>
  <c r="AK539" i="5" s="1"/>
  <c r="AM209" i="5"/>
  <c r="AN209" i="5" s="1"/>
  <c r="AM551" i="5"/>
  <c r="AO551" i="5" s="1"/>
  <c r="AM325" i="5"/>
  <c r="AN325" i="5" s="1"/>
  <c r="AM318" i="5"/>
  <c r="AO318" i="5" s="1"/>
  <c r="AM98" i="5"/>
  <c r="AM518" i="5"/>
  <c r="AO518" i="5" s="1"/>
  <c r="AM390" i="5"/>
  <c r="AM210" i="5"/>
  <c r="AN210" i="5" s="1"/>
  <c r="AM528" i="5"/>
  <c r="AN528" i="5" s="1"/>
  <c r="AM532" i="5"/>
  <c r="AM301" i="5"/>
  <c r="AO301" i="5" s="1"/>
  <c r="AM142" i="5"/>
  <c r="AO142" i="5" s="1"/>
  <c r="AM543" i="5"/>
  <c r="AO543" i="5" s="1"/>
  <c r="AM338" i="5"/>
  <c r="AM82" i="5"/>
  <c r="AM356" i="5"/>
  <c r="AM116" i="5"/>
  <c r="AN116" i="5" s="1"/>
  <c r="AM87" i="5"/>
  <c r="AM176" i="5"/>
  <c r="AM118" i="5"/>
  <c r="AM510" i="5"/>
  <c r="AM490" i="5"/>
  <c r="AO490" i="5" s="1"/>
  <c r="AM294" i="5"/>
  <c r="AN294" i="5" s="1"/>
  <c r="AM106" i="5"/>
  <c r="AN106" i="5" s="1"/>
  <c r="AM560" i="5"/>
  <c r="AM206" i="5"/>
  <c r="AM481" i="5"/>
  <c r="AO481" i="5" s="1"/>
  <c r="AM358" i="5"/>
  <c r="AM110" i="5"/>
  <c r="AM223" i="5"/>
  <c r="AO223" i="5" s="1"/>
  <c r="AM127" i="5"/>
  <c r="AN127" i="5" s="1"/>
  <c r="AM267" i="5"/>
  <c r="AO267" i="5" s="1"/>
  <c r="AM421" i="5"/>
  <c r="AO421" i="5" s="1"/>
  <c r="AM341" i="5"/>
  <c r="AM174" i="5"/>
  <c r="AM45" i="5"/>
  <c r="AM474" i="5"/>
  <c r="AM252" i="5"/>
  <c r="AN252" i="5" s="1"/>
  <c r="AM274" i="5"/>
  <c r="AM132" i="5"/>
  <c r="AN132" i="5" s="1"/>
  <c r="AM79" i="5"/>
  <c r="AM533" i="5"/>
  <c r="AN533" i="5" s="1"/>
  <c r="AM455" i="5"/>
  <c r="AM367" i="5"/>
  <c r="AM239" i="5"/>
  <c r="AN239" i="5" s="1"/>
  <c r="AM219" i="5"/>
  <c r="AO219" i="5" s="1"/>
  <c r="T167" i="5"/>
  <c r="U167" i="5" s="1"/>
  <c r="AM71" i="5"/>
  <c r="T153" i="5"/>
  <c r="T122" i="5"/>
  <c r="AM328" i="5"/>
  <c r="AN328" i="5" s="1"/>
  <c r="AM224" i="5"/>
  <c r="AO224" i="5" s="1"/>
  <c r="AM56" i="5"/>
  <c r="AN56" i="5" s="1"/>
  <c r="AM385" i="5"/>
  <c r="AO385" i="5" s="1"/>
  <c r="AM331" i="5"/>
  <c r="AM260" i="5"/>
  <c r="AM415" i="5"/>
  <c r="AM547" i="5"/>
  <c r="AM446" i="5"/>
  <c r="AM420" i="5"/>
  <c r="AO420" i="5" s="1"/>
  <c r="AM220" i="5"/>
  <c r="AN220" i="5" s="1"/>
  <c r="AM81" i="5"/>
  <c r="AO81" i="5" s="1"/>
  <c r="AM463" i="5"/>
  <c r="AM419" i="5"/>
  <c r="AO419" i="5" s="1"/>
  <c r="AM167" i="5"/>
  <c r="AO167" i="5" s="1"/>
  <c r="AM23" i="5"/>
  <c r="T198" i="5"/>
  <c r="V198" i="5" s="1"/>
  <c r="T58" i="5"/>
  <c r="V58" i="5" s="1"/>
  <c r="AH526" i="5"/>
  <c r="AM232" i="5"/>
  <c r="AN232" i="5" s="1"/>
  <c r="AM296" i="5"/>
  <c r="AO296" i="5" s="1"/>
  <c r="AM168" i="5"/>
  <c r="AM8" i="5"/>
  <c r="AN8" i="5" s="1"/>
  <c r="AM276" i="5"/>
  <c r="AO276" i="5" s="1"/>
  <c r="AM39" i="5"/>
  <c r="AO39" i="5" s="1"/>
  <c r="AJ371" i="5"/>
  <c r="AK371" i="5" s="1"/>
  <c r="O12" i="5"/>
  <c r="AM477" i="5"/>
  <c r="AN477" i="5" s="1"/>
  <c r="AM314" i="5"/>
  <c r="AM125" i="5"/>
  <c r="AN125" i="5" s="1"/>
  <c r="AM505" i="5"/>
  <c r="AN505" i="5" s="1"/>
  <c r="AM406" i="5"/>
  <c r="AO406" i="5" s="1"/>
  <c r="AM249" i="5"/>
  <c r="AO249" i="5" s="1"/>
  <c r="AM221" i="5"/>
  <c r="AO221" i="5" s="1"/>
  <c r="AM70" i="5"/>
  <c r="AN70" i="5" s="1"/>
  <c r="AI508" i="5"/>
  <c r="AM537" i="5"/>
  <c r="AN537" i="5" s="1"/>
  <c r="AM335" i="5"/>
  <c r="AM287" i="5"/>
  <c r="AM199" i="5"/>
  <c r="AO199" i="5" s="1"/>
  <c r="AM47" i="5"/>
  <c r="AO47" i="5" s="1"/>
  <c r="AM103" i="5"/>
  <c r="AO103" i="5" s="1"/>
  <c r="T218" i="5"/>
  <c r="U218" i="5" s="1"/>
  <c r="AH315" i="5"/>
  <c r="AM538" i="5"/>
  <c r="T184" i="5"/>
  <c r="U184" i="5" s="1"/>
  <c r="AM40" i="5"/>
  <c r="AM88" i="5"/>
  <c r="AN88" i="5" s="1"/>
  <c r="AH393" i="5"/>
  <c r="AM137" i="5"/>
  <c r="AO137" i="5" s="1"/>
  <c r="AM451" i="5"/>
  <c r="AM259" i="5"/>
  <c r="AO259" i="5" s="1"/>
  <c r="AJ379" i="5"/>
  <c r="AK379" i="5" s="1"/>
  <c r="AM442" i="5"/>
  <c r="AO442" i="5" s="1"/>
  <c r="AM178" i="5"/>
  <c r="AO178" i="5" s="1"/>
  <c r="AM114" i="5"/>
  <c r="AN114" i="5" s="1"/>
  <c r="AM473" i="5"/>
  <c r="AM380" i="5"/>
  <c r="AM278" i="5"/>
  <c r="AM172" i="5"/>
  <c r="AO172" i="5" s="1"/>
  <c r="AM50" i="5"/>
  <c r="AM231" i="5"/>
  <c r="T219" i="5"/>
  <c r="U219" i="5" s="1"/>
  <c r="AM207" i="5"/>
  <c r="T111" i="5"/>
  <c r="V111" i="5" s="1"/>
  <c r="T42" i="5"/>
  <c r="U42" i="5" s="1"/>
  <c r="AM526" i="5"/>
  <c r="AM392" i="5"/>
  <c r="AM264" i="5"/>
  <c r="AN264" i="5" s="1"/>
  <c r="AM192" i="5"/>
  <c r="AN192" i="5" s="1"/>
  <c r="AM555" i="5"/>
  <c r="AN555" i="5" s="1"/>
  <c r="AM97" i="5"/>
  <c r="AN97" i="5" s="1"/>
  <c r="AM283" i="5"/>
  <c r="AN283" i="5" s="1"/>
  <c r="AI453" i="5"/>
  <c r="AM159" i="5"/>
  <c r="T23" i="5"/>
  <c r="U23" i="5" s="1"/>
  <c r="T71" i="5"/>
  <c r="V71" i="5" s="1"/>
  <c r="AM111" i="5"/>
  <c r="AO111" i="5" s="1"/>
  <c r="T193" i="5"/>
  <c r="AM534" i="5"/>
  <c r="AM152" i="5"/>
  <c r="AN152" i="5" s="1"/>
  <c r="AM112" i="5"/>
  <c r="AM139" i="5"/>
  <c r="AO139" i="5" s="1"/>
  <c r="AH243" i="5"/>
  <c r="AH500" i="5"/>
  <c r="AI161" i="5"/>
  <c r="AM539" i="5"/>
  <c r="AM497" i="5"/>
  <c r="AO497" i="5" s="1"/>
  <c r="AM233" i="5"/>
  <c r="AO233" i="5" s="1"/>
  <c r="AM25" i="5"/>
  <c r="AO25" i="5" s="1"/>
  <c r="AM557" i="5"/>
  <c r="AO557" i="5" s="1"/>
  <c r="AM467" i="5"/>
  <c r="AO467" i="5" s="1"/>
  <c r="AM355" i="5"/>
  <c r="AO355" i="5" s="1"/>
  <c r="AM147" i="5"/>
  <c r="AN147" i="5" s="1"/>
  <c r="AM284" i="5"/>
  <c r="AN284" i="5" s="1"/>
  <c r="AM92" i="5"/>
  <c r="AN92" i="5" s="1"/>
  <c r="AM416" i="5"/>
  <c r="AN416" i="5" s="1"/>
  <c r="AH236" i="5"/>
  <c r="AI507" i="5"/>
  <c r="AH246" i="5"/>
  <c r="AH374" i="5"/>
  <c r="AH76" i="5"/>
  <c r="AI196" i="5"/>
  <c r="AM432" i="5"/>
  <c r="AN432" i="5" s="1"/>
  <c r="AM512" i="5"/>
  <c r="AN512" i="5" s="1"/>
  <c r="AM240" i="5"/>
  <c r="AO240" i="5" s="1"/>
  <c r="AM96" i="5"/>
  <c r="AM265" i="5"/>
  <c r="AO265" i="5" s="1"/>
  <c r="AM33" i="5"/>
  <c r="AN33" i="5" s="1"/>
  <c r="AM521" i="5"/>
  <c r="AN521" i="5" s="1"/>
  <c r="AM475" i="5"/>
  <c r="AO475" i="5" s="1"/>
  <c r="AM363" i="5"/>
  <c r="AO363" i="5" s="1"/>
  <c r="AM171" i="5"/>
  <c r="AM140" i="5"/>
  <c r="AO140" i="5" s="1"/>
  <c r="AM108" i="5"/>
  <c r="AM89" i="5"/>
  <c r="AO89" i="5" s="1"/>
  <c r="AI413" i="5"/>
  <c r="AI484" i="5"/>
  <c r="AJ51" i="5"/>
  <c r="AK51" i="5" s="1"/>
  <c r="AJ105" i="5"/>
  <c r="AL105" i="5" s="1"/>
  <c r="AM320" i="5"/>
  <c r="AM384" i="5"/>
  <c r="AO384" i="5" s="1"/>
  <c r="AM256" i="5"/>
  <c r="AM304" i="5"/>
  <c r="AO304" i="5" s="1"/>
  <c r="AM160" i="5"/>
  <c r="AO160" i="5" s="1"/>
  <c r="AM200" i="5"/>
  <c r="AM527" i="5"/>
  <c r="AN527" i="5" s="1"/>
  <c r="AM273" i="5"/>
  <c r="AO273" i="5" s="1"/>
  <c r="AM49" i="5"/>
  <c r="AN49" i="5" s="1"/>
  <c r="AM371" i="5"/>
  <c r="AN371" i="5" s="1"/>
  <c r="AM27" i="5"/>
  <c r="AN27" i="5" s="1"/>
  <c r="AM156" i="5"/>
  <c r="AO156" i="5" s="1"/>
  <c r="AI39" i="5"/>
  <c r="AM305" i="5"/>
  <c r="AN305" i="5" s="1"/>
  <c r="AM65" i="5"/>
  <c r="AO65" i="5" s="1"/>
  <c r="AM491" i="5"/>
  <c r="AN491" i="5" s="1"/>
  <c r="AM43" i="5"/>
  <c r="AO43" i="5" s="1"/>
  <c r="AM164" i="5"/>
  <c r="AN164" i="5" s="1"/>
  <c r="AM179" i="5"/>
  <c r="AJ273" i="5"/>
  <c r="AH549" i="5"/>
  <c r="AM312" i="5"/>
  <c r="AO312" i="5" s="1"/>
  <c r="AM433" i="5"/>
  <c r="AN433" i="5" s="1"/>
  <c r="AM313" i="5"/>
  <c r="AM73" i="5"/>
  <c r="AM427" i="5"/>
  <c r="AM499" i="5"/>
  <c r="AM51" i="5"/>
  <c r="AM212" i="5"/>
  <c r="AN212" i="5" s="1"/>
  <c r="AM343" i="5"/>
  <c r="AN343" i="5" s="1"/>
  <c r="AI180" i="5"/>
  <c r="AG43" i="5"/>
  <c r="AG191" i="5"/>
  <c r="AG431" i="5"/>
  <c r="AG329" i="5"/>
  <c r="AG263" i="5"/>
  <c r="AG331" i="5"/>
  <c r="AG342" i="5"/>
  <c r="AG541" i="5"/>
  <c r="AG150" i="5"/>
  <c r="AG95" i="5"/>
  <c r="AG241" i="5"/>
  <c r="AG399" i="5"/>
  <c r="AG52" i="5"/>
  <c r="AG388" i="5"/>
  <c r="AG430" i="5"/>
  <c r="AG325" i="5"/>
  <c r="AG543" i="5"/>
  <c r="AG53" i="5"/>
  <c r="AG369" i="5"/>
  <c r="B29" i="2"/>
  <c r="B25" i="2"/>
  <c r="B27" i="2"/>
  <c r="B23" i="2"/>
  <c r="B20" i="2"/>
  <c r="T90" i="5"/>
  <c r="T168" i="5"/>
  <c r="U168" i="5" s="1"/>
  <c r="T132" i="5"/>
  <c r="U132" i="5" s="1"/>
  <c r="T165" i="5"/>
  <c r="T189" i="5"/>
  <c r="V189" i="5" s="1"/>
  <c r="AJ225" i="5"/>
  <c r="AK225" i="5" s="1"/>
  <c r="T143" i="5"/>
  <c r="V143" i="5" s="1"/>
  <c r="T103" i="5"/>
  <c r="U103" i="5" s="1"/>
  <c r="T217" i="5"/>
  <c r="U217" i="5" s="1"/>
  <c r="T110" i="5"/>
  <c r="U110" i="5" s="1"/>
  <c r="T277" i="5"/>
  <c r="T124" i="5"/>
  <c r="T46" i="5"/>
  <c r="U46" i="5" s="1"/>
  <c r="T158" i="5"/>
  <c r="T102" i="5"/>
  <c r="U102" i="5" s="1"/>
  <c r="T240" i="5"/>
  <c r="T200" i="5"/>
  <c r="T255" i="5"/>
  <c r="T220" i="5"/>
  <c r="U220" i="5" s="1"/>
  <c r="T97" i="5"/>
  <c r="U97" i="5" s="1"/>
  <c r="T213" i="5"/>
  <c r="U213" i="5" s="1"/>
  <c r="T108" i="5"/>
  <c r="U108" i="5" s="1"/>
  <c r="B43" i="5"/>
  <c r="T163" i="5"/>
  <c r="U163" i="5" s="1"/>
  <c r="T81" i="5"/>
  <c r="T128" i="5"/>
  <c r="V128" i="5" s="1"/>
  <c r="T48" i="5"/>
  <c r="U48" i="5" s="1"/>
  <c r="AI203" i="5"/>
  <c r="T99" i="5"/>
  <c r="U99" i="5" s="1"/>
  <c r="AH32" i="5"/>
  <c r="T127" i="5"/>
  <c r="T202" i="5"/>
  <c r="T78" i="5"/>
  <c r="T157" i="5"/>
  <c r="T60" i="5"/>
  <c r="U60" i="5" s="1"/>
  <c r="T238" i="5"/>
  <c r="U238" i="5" s="1"/>
  <c r="T178" i="5"/>
  <c r="V178" i="5" s="1"/>
  <c r="T77" i="5"/>
  <c r="V77" i="5" s="1"/>
  <c r="T144" i="5"/>
  <c r="T216" i="5"/>
  <c r="T96" i="5"/>
  <c r="AH323" i="5"/>
  <c r="T147" i="5"/>
  <c r="U147" i="5" s="1"/>
  <c r="AJ227" i="5"/>
  <c r="AK227" i="5" s="1"/>
  <c r="AH483" i="5"/>
  <c r="AH353" i="5"/>
  <c r="T179" i="5"/>
  <c r="T49" i="5"/>
  <c r="U49" i="5" s="1"/>
  <c r="T197" i="5"/>
  <c r="U197" i="5" s="1"/>
  <c r="T68" i="5"/>
  <c r="V68" i="5" s="1"/>
  <c r="T234" i="5"/>
  <c r="U234" i="5" s="1"/>
  <c r="T148" i="5"/>
  <c r="T54" i="5"/>
  <c r="U54" i="5" s="1"/>
  <c r="AH409" i="5"/>
  <c r="AM163" i="5"/>
  <c r="AN163" i="5" s="1"/>
  <c r="AM488" i="5"/>
  <c r="AO488" i="5" s="1"/>
  <c r="AH115" i="5"/>
  <c r="T278" i="5"/>
  <c r="U278" i="5" s="1"/>
  <c r="T145" i="5"/>
  <c r="U145" i="5" s="1"/>
  <c r="T45" i="5"/>
  <c r="V45" i="5" s="1"/>
  <c r="T182" i="5"/>
  <c r="U182" i="5" s="1"/>
  <c r="T62" i="5"/>
  <c r="V62" i="5" s="1"/>
  <c r="T209" i="5"/>
  <c r="U209" i="5" s="1"/>
  <c r="T116" i="5"/>
  <c r="T29" i="5"/>
  <c r="U29" i="5" s="1"/>
  <c r="T104" i="5"/>
  <c r="U104" i="5" s="1"/>
  <c r="AH215" i="5"/>
  <c r="T534" i="5"/>
  <c r="U534" i="5" s="1"/>
  <c r="T136" i="5"/>
  <c r="U136" i="5" s="1"/>
  <c r="AH358" i="5"/>
  <c r="AH446" i="5"/>
  <c r="T175" i="5"/>
  <c r="T257" i="5"/>
  <c r="V257" i="5" s="1"/>
  <c r="T129" i="5"/>
  <c r="V129" i="5" s="1"/>
  <c r="T21" i="5"/>
  <c r="U21" i="5" s="1"/>
  <c r="T86" i="5"/>
  <c r="V86" i="5" s="1"/>
  <c r="T20" i="5"/>
  <c r="T164" i="5"/>
  <c r="T113" i="5"/>
  <c r="T120" i="5"/>
  <c r="T40" i="5"/>
  <c r="V40" i="5" s="1"/>
  <c r="T72" i="5"/>
  <c r="V72" i="5" s="1"/>
  <c r="AM504" i="5"/>
  <c r="AN504" i="5" s="1"/>
  <c r="B59" i="2"/>
  <c r="K26" i="2"/>
  <c r="B67" i="2"/>
  <c r="M26" i="2"/>
  <c r="B63" i="2"/>
  <c r="L26" i="2"/>
  <c r="AI33" i="5"/>
  <c r="AH33" i="5"/>
  <c r="AH505" i="5"/>
  <c r="AI98" i="5"/>
  <c r="AH98" i="5"/>
  <c r="AH509" i="5"/>
  <c r="AI509" i="5"/>
  <c r="AH60" i="5"/>
  <c r="AI60" i="5"/>
  <c r="AH433" i="5"/>
  <c r="AI433" i="5"/>
  <c r="AI309" i="5"/>
  <c r="AH309" i="5"/>
  <c r="AI362" i="5"/>
  <c r="AJ43" i="5"/>
  <c r="AL43" i="5" s="1"/>
  <c r="AJ147" i="5"/>
  <c r="AH111" i="5"/>
  <c r="B43" i="2"/>
  <c r="K35" i="2"/>
  <c r="AI193" i="5"/>
  <c r="AI145" i="5"/>
  <c r="AH145" i="5"/>
  <c r="AH482" i="5"/>
  <c r="AI482" i="5"/>
  <c r="AI366" i="5"/>
  <c r="AH366" i="5"/>
  <c r="AH395" i="5"/>
  <c r="AI395" i="5"/>
  <c r="AI107" i="5"/>
  <c r="AH107" i="5"/>
  <c r="AI116" i="5"/>
  <c r="AH116" i="5"/>
  <c r="AH86" i="5"/>
  <c r="AI86" i="5"/>
  <c r="AI59" i="5"/>
  <c r="AH59" i="5"/>
  <c r="AI102" i="5"/>
  <c r="AH102" i="5"/>
  <c r="AH254" i="5"/>
  <c r="AI254" i="5"/>
  <c r="AH532" i="5"/>
  <c r="AI532" i="5"/>
  <c r="AJ153" i="5"/>
  <c r="AL153" i="5" s="1"/>
  <c r="AJ169" i="5"/>
  <c r="AL169" i="5" s="1"/>
  <c r="AI90" i="5"/>
  <c r="AM64" i="5"/>
  <c r="AO64" i="5" s="1"/>
  <c r="AH310" i="5"/>
  <c r="AI310" i="5"/>
  <c r="AI235" i="5"/>
  <c r="AH235" i="5"/>
  <c r="AI27" i="5"/>
  <c r="AH27" i="5"/>
  <c r="AH114" i="5"/>
  <c r="AI114" i="5"/>
  <c r="AI559" i="5"/>
  <c r="AH559" i="5"/>
  <c r="AI183" i="5"/>
  <c r="AH183" i="5"/>
  <c r="AH443" i="5"/>
  <c r="AH225" i="5"/>
  <c r="L35" i="2"/>
  <c r="AI197" i="5"/>
  <c r="AH197" i="5"/>
  <c r="AI147" i="5"/>
  <c r="AH147" i="5"/>
  <c r="AI423" i="5"/>
  <c r="AI106" i="5"/>
  <c r="AH106" i="5"/>
  <c r="AH167" i="5"/>
  <c r="AI167" i="5"/>
  <c r="AH489" i="5"/>
  <c r="AI489" i="5"/>
  <c r="AM80" i="5"/>
  <c r="AN80" i="5" s="1"/>
  <c r="AI139" i="5"/>
  <c r="AI137" i="5"/>
  <c r="AI41" i="5"/>
  <c r="AI371" i="5"/>
  <c r="AH170" i="5"/>
  <c r="AI170" i="5"/>
  <c r="AI108" i="5"/>
  <c r="AH108" i="5"/>
  <c r="AI179" i="5"/>
  <c r="AH179" i="5"/>
  <c r="AJ483" i="5"/>
  <c r="AL483" i="5" s="1"/>
  <c r="AM472" i="5"/>
  <c r="AO472" i="5" s="1"/>
  <c r="T176" i="5"/>
  <c r="AI57" i="5"/>
  <c r="AH57" i="5"/>
  <c r="AH49" i="5"/>
  <c r="AI49" i="5"/>
  <c r="AH198" i="5"/>
  <c r="AI198" i="5"/>
  <c r="AH156" i="5"/>
  <c r="AI156" i="5"/>
  <c r="AI465" i="5"/>
  <c r="AH465" i="5"/>
  <c r="AI46" i="5"/>
  <c r="AH46" i="5"/>
  <c r="AM352" i="5"/>
  <c r="AO352" i="5" s="1"/>
  <c r="AH169" i="5"/>
  <c r="AI169" i="5"/>
  <c r="AH105" i="5"/>
  <c r="AI105" i="5"/>
  <c r="AI228" i="5"/>
  <c r="AH228" i="5"/>
  <c r="AH63" i="5"/>
  <c r="AI63" i="5"/>
  <c r="AI501" i="5"/>
  <c r="AH501" i="5"/>
  <c r="AH188" i="5"/>
  <c r="AI188" i="5"/>
  <c r="AI171" i="5"/>
  <c r="AH171" i="5"/>
  <c r="AH467" i="5"/>
  <c r="AI467" i="5"/>
  <c r="AH227" i="5"/>
  <c r="AI227" i="5"/>
  <c r="AI385" i="5"/>
  <c r="AH62" i="5"/>
  <c r="AI62" i="5"/>
  <c r="Q554" i="5"/>
  <c r="S554" i="5" s="1"/>
  <c r="Q312" i="5"/>
  <c r="S312" i="5" s="1"/>
  <c r="K35" i="5"/>
  <c r="W184" i="5"/>
  <c r="X184" i="5" s="1"/>
  <c r="W451" i="5"/>
  <c r="Y451" i="5" s="1"/>
  <c r="W319" i="5"/>
  <c r="Y319" i="5" s="1"/>
  <c r="Q344" i="5"/>
  <c r="R344" i="5" s="1"/>
  <c r="Q304" i="5"/>
  <c r="R304" i="5" s="1"/>
  <c r="W78" i="5"/>
  <c r="Y78" i="5" s="1"/>
  <c r="Q534" i="5"/>
  <c r="Q48" i="5"/>
  <c r="S48" i="5" s="1"/>
  <c r="Q320" i="5"/>
  <c r="S320" i="5" s="1"/>
  <c r="Q392" i="5"/>
  <c r="S392" i="5" s="1"/>
  <c r="Q400" i="5"/>
  <c r="S400" i="5" s="1"/>
  <c r="Q488" i="5"/>
  <c r="S488" i="5" s="1"/>
  <c r="Q8" i="5"/>
  <c r="R8" i="5" s="1"/>
  <c r="Q440" i="5"/>
  <c r="S440" i="5" s="1"/>
  <c r="Q200" i="5"/>
  <c r="Q72" i="5"/>
  <c r="S72" i="5" s="1"/>
  <c r="W301" i="5"/>
  <c r="X301" i="5" s="1"/>
  <c r="Q526" i="5"/>
  <c r="R526" i="5" s="1"/>
  <c r="Q456" i="5"/>
  <c r="S456" i="5" s="1"/>
  <c r="Q208" i="5"/>
  <c r="R208" i="5" s="1"/>
  <c r="Q512" i="5"/>
  <c r="S512" i="5" s="1"/>
  <c r="Q144" i="5"/>
  <c r="R144" i="5" s="1"/>
  <c r="B49" i="5"/>
  <c r="W272" i="5"/>
  <c r="W74" i="5"/>
  <c r="Y74" i="5" s="1"/>
  <c r="Q432" i="5"/>
  <c r="S432" i="5" s="1"/>
  <c r="Q168" i="5"/>
  <c r="S168" i="5" s="1"/>
  <c r="Q104" i="5"/>
  <c r="R104" i="5" s="1"/>
  <c r="Q448" i="5"/>
  <c r="R448" i="5" s="1"/>
  <c r="Q480" i="5"/>
  <c r="R480" i="5" s="1"/>
  <c r="Q384" i="5"/>
  <c r="S384" i="5" s="1"/>
  <c r="Q224" i="5"/>
  <c r="R224" i="5" s="1"/>
  <c r="Q152" i="5"/>
  <c r="S152" i="5" s="1"/>
  <c r="Q56" i="5"/>
  <c r="R56" i="5" s="1"/>
  <c r="Q112" i="5"/>
  <c r="R112" i="5" s="1"/>
  <c r="Q538" i="5"/>
  <c r="S538" i="5" s="1"/>
  <c r="Q496" i="5"/>
  <c r="S496" i="5" s="1"/>
  <c r="Q256" i="5"/>
  <c r="S256" i="5" s="1"/>
  <c r="Q120" i="5"/>
  <c r="R120" i="5" s="1"/>
  <c r="Q216" i="5"/>
  <c r="S216" i="5" s="1"/>
  <c r="Q80" i="5"/>
  <c r="S80" i="5" s="1"/>
  <c r="Q424" i="5"/>
  <c r="S424" i="5" s="1"/>
  <c r="Q464" i="5"/>
  <c r="S464" i="5" s="1"/>
  <c r="Q352" i="5"/>
  <c r="S352" i="5" s="1"/>
  <c r="Q264" i="5"/>
  <c r="S264" i="5" s="1"/>
  <c r="Q176" i="5"/>
  <c r="Q546" i="5"/>
  <c r="Q472" i="5"/>
  <c r="S472" i="5" s="1"/>
  <c r="Q416" i="5"/>
  <c r="R416" i="5" s="1"/>
  <c r="Q272" i="5"/>
  <c r="R272" i="5" s="1"/>
  <c r="Q40" i="5"/>
  <c r="S40" i="5" s="1"/>
  <c r="W515" i="5"/>
  <c r="Y515" i="5" s="1"/>
  <c r="W55" i="5"/>
  <c r="X55" i="5" s="1"/>
  <c r="W557" i="5"/>
  <c r="W453" i="5"/>
  <c r="Y453" i="5" s="1"/>
  <c r="W270" i="5"/>
  <c r="Y270" i="5" s="1"/>
  <c r="W100" i="5"/>
  <c r="Y100" i="5" s="1"/>
  <c r="W341" i="5"/>
  <c r="Y341" i="5" s="1"/>
  <c r="W375" i="5"/>
  <c r="Y375" i="5" s="1"/>
  <c r="W26" i="5"/>
  <c r="X26" i="5" s="1"/>
  <c r="Q296" i="5"/>
  <c r="R296" i="5" s="1"/>
  <c r="Q328" i="5"/>
  <c r="S328" i="5" s="1"/>
  <c r="Q360" i="5"/>
  <c r="S360" i="5" s="1"/>
  <c r="Q232" i="5"/>
  <c r="S232" i="5" s="1"/>
  <c r="Q128" i="5"/>
  <c r="R128" i="5" s="1"/>
  <c r="W160" i="5"/>
  <c r="Y160" i="5" s="1"/>
  <c r="Q184" i="5"/>
  <c r="S184" i="5" s="1"/>
  <c r="W24" i="5"/>
  <c r="Y24" i="5" s="1"/>
  <c r="Q64" i="5"/>
  <c r="R64" i="5" s="1"/>
  <c r="Q88" i="5"/>
  <c r="S88" i="5" s="1"/>
  <c r="W66" i="5"/>
  <c r="Y66" i="5" s="1"/>
  <c r="W281" i="5"/>
  <c r="X281" i="5" s="1"/>
  <c r="W28" i="5"/>
  <c r="X28" i="5" s="1"/>
  <c r="W490" i="5"/>
  <c r="X490" i="5" s="1"/>
  <c r="W372" i="5"/>
  <c r="Y372" i="5" s="1"/>
  <c r="W102" i="5"/>
  <c r="Y102" i="5" s="1"/>
  <c r="W86" i="5"/>
  <c r="Y86" i="5" s="1"/>
  <c r="W331" i="5"/>
  <c r="W441" i="5"/>
  <c r="X441" i="5" s="1"/>
  <c r="W204" i="5"/>
  <c r="Y204" i="5" s="1"/>
  <c r="W260" i="5"/>
  <c r="X260" i="5" s="1"/>
  <c r="W399" i="5"/>
  <c r="Y399" i="5" s="1"/>
  <c r="W492" i="5"/>
  <c r="X492" i="5" s="1"/>
  <c r="Q336" i="5"/>
  <c r="S336" i="5" s="1"/>
  <c r="Q368" i="5"/>
  <c r="Q408" i="5"/>
  <c r="S408" i="5" s="1"/>
  <c r="Q240" i="5"/>
  <c r="R240" i="5" s="1"/>
  <c r="Q280" i="5"/>
  <c r="S280" i="5" s="1"/>
  <c r="W136" i="5"/>
  <c r="Y136" i="5" s="1"/>
  <c r="Q160" i="5"/>
  <c r="S160" i="5" s="1"/>
  <c r="W192" i="5"/>
  <c r="Y192" i="5" s="1"/>
  <c r="Q24" i="5"/>
  <c r="S24" i="5" s="1"/>
  <c r="W282" i="5"/>
  <c r="W323" i="5"/>
  <c r="X323" i="5" s="1"/>
  <c r="W135" i="5"/>
  <c r="X135" i="5" s="1"/>
  <c r="W439" i="5"/>
  <c r="X439" i="5" s="1"/>
  <c r="W501" i="5"/>
  <c r="Y501" i="5" s="1"/>
  <c r="W210" i="5"/>
  <c r="Y210" i="5" s="1"/>
  <c r="W259" i="5"/>
  <c r="Y259" i="5" s="1"/>
  <c r="W98" i="5"/>
  <c r="X98" i="5" s="1"/>
  <c r="W110" i="5"/>
  <c r="W291" i="5"/>
  <c r="X291" i="5" s="1"/>
  <c r="W139" i="5"/>
  <c r="X139" i="5" s="1"/>
  <c r="W159" i="5"/>
  <c r="X159" i="5" s="1"/>
  <c r="W382" i="5"/>
  <c r="X382" i="5" s="1"/>
  <c r="W216" i="5"/>
  <c r="X216" i="5" s="1"/>
  <c r="W472" i="5"/>
  <c r="Y472" i="5" s="1"/>
  <c r="Q504" i="5"/>
  <c r="S504" i="5" s="1"/>
  <c r="Q376" i="5"/>
  <c r="Q248" i="5"/>
  <c r="R248" i="5" s="1"/>
  <c r="Q288" i="5"/>
  <c r="S288" i="5" s="1"/>
  <c r="Q136" i="5"/>
  <c r="R136" i="5" s="1"/>
  <c r="W168" i="5"/>
  <c r="Y168" i="5" s="1"/>
  <c r="Q192" i="5"/>
  <c r="S192" i="5" s="1"/>
  <c r="Q32" i="5"/>
  <c r="S32" i="5" s="1"/>
  <c r="W72" i="5"/>
  <c r="X72" i="5" s="1"/>
  <c r="W262" i="5"/>
  <c r="W29" i="5"/>
  <c r="Y29" i="5" s="1"/>
  <c r="W62" i="5"/>
  <c r="Y62" i="5" s="1"/>
  <c r="W365" i="5"/>
  <c r="X365" i="5" s="1"/>
  <c r="W497" i="5"/>
  <c r="Y497" i="5" s="1"/>
  <c r="W183" i="5"/>
  <c r="Y183" i="5" s="1"/>
  <c r="W239" i="5"/>
  <c r="X239" i="5" s="1"/>
  <c r="W334" i="5"/>
  <c r="Y334" i="5" s="1"/>
  <c r="W243" i="5"/>
  <c r="Y243" i="5" s="1"/>
  <c r="W212" i="5"/>
  <c r="W521" i="5"/>
  <c r="X521" i="5" s="1"/>
  <c r="W51" i="5"/>
  <c r="X51" i="5" s="1"/>
  <c r="W330" i="5"/>
  <c r="X330" i="5" s="1"/>
  <c r="W526" i="5"/>
  <c r="X526" i="5" s="1"/>
  <c r="W333" i="5"/>
  <c r="Y333" i="5" s="1"/>
  <c r="W321" i="5"/>
  <c r="X321" i="5" s="1"/>
  <c r="W481" i="5"/>
  <c r="Y481" i="5" s="1"/>
  <c r="W405" i="5"/>
  <c r="W65" i="5"/>
  <c r="X65" i="5" s="1"/>
  <c r="W274" i="5"/>
  <c r="Y274" i="5" s="1"/>
  <c r="W305" i="5"/>
  <c r="X305" i="5" s="1"/>
  <c r="W101" i="5"/>
  <c r="X101" i="5" s="1"/>
  <c r="W467" i="5"/>
  <c r="X467" i="5" s="1"/>
  <c r="W60" i="5"/>
  <c r="Y60" i="5" s="1"/>
  <c r="W366" i="5"/>
  <c r="W290" i="5"/>
  <c r="W189" i="5"/>
  <c r="X189" i="5" s="1"/>
  <c r="W554" i="5"/>
  <c r="X554" i="5" s="1"/>
  <c r="W80" i="5"/>
  <c r="X80" i="5" s="1"/>
  <c r="W75" i="5"/>
  <c r="X75" i="5" s="1"/>
  <c r="W438" i="5"/>
  <c r="Y438" i="5" s="1"/>
  <c r="W386" i="5"/>
  <c r="X386" i="5" s="1"/>
  <c r="W132" i="5"/>
  <c r="W343" i="5"/>
  <c r="W237" i="5"/>
  <c r="X237" i="5" s="1"/>
  <c r="W181" i="5"/>
  <c r="X181" i="5" s="1"/>
  <c r="W71" i="5"/>
  <c r="Y71" i="5" s="1"/>
  <c r="W422" i="5"/>
  <c r="X422" i="5" s="1"/>
  <c r="W197" i="5"/>
  <c r="X197" i="5" s="1"/>
  <c r="W549" i="5"/>
  <c r="Y549" i="5" s="1"/>
  <c r="W293" i="5"/>
  <c r="X293" i="5" s="1"/>
  <c r="W403" i="5"/>
  <c r="X161" i="5"/>
  <c r="W392" i="5"/>
  <c r="Y392" i="5" s="1"/>
  <c r="W394" i="5"/>
  <c r="Y394" i="5" s="1"/>
  <c r="W358" i="5"/>
  <c r="Y358" i="5" s="1"/>
  <c r="W517" i="5"/>
  <c r="X517" i="5" s="1"/>
  <c r="W125" i="5"/>
  <c r="W551" i="5"/>
  <c r="Y551" i="5" s="1"/>
  <c r="W106" i="5"/>
  <c r="X106" i="5" s="1"/>
  <c r="W255" i="5"/>
  <c r="X255" i="5" s="1"/>
  <c r="W436" i="5"/>
  <c r="X436" i="5" s="1"/>
  <c r="W535" i="5"/>
  <c r="Y535" i="5" s="1"/>
  <c r="W340" i="5"/>
  <c r="Y340" i="5" s="1"/>
  <c r="W154" i="5"/>
  <c r="W435" i="5"/>
  <c r="W158" i="5"/>
  <c r="X158" i="5" s="1"/>
  <c r="W27" i="5"/>
  <c r="Y27" i="5" s="1"/>
  <c r="W122" i="5"/>
  <c r="W348" i="5"/>
  <c r="Y348" i="5" s="1"/>
  <c r="W510" i="5"/>
  <c r="X510" i="5" s="1"/>
  <c r="W68" i="5"/>
  <c r="W507" i="5"/>
  <c r="Y507" i="5" s="1"/>
  <c r="W454" i="5"/>
  <c r="X454" i="5" s="1"/>
  <c r="W531" i="5"/>
  <c r="X531" i="5" s="1"/>
  <c r="W449" i="5"/>
  <c r="Y449" i="5" s="1"/>
  <c r="W267" i="5"/>
  <c r="X267" i="5" s="1"/>
  <c r="W177" i="5"/>
  <c r="Y177" i="5" s="1"/>
  <c r="W299" i="5"/>
  <c r="Y299" i="5" s="1"/>
  <c r="W351" i="5"/>
  <c r="Y351" i="5" s="1"/>
  <c r="W536" i="5"/>
  <c r="Y536" i="5" s="1"/>
  <c r="S19" i="4"/>
  <c r="AL19" i="4" s="1"/>
  <c r="S27" i="4"/>
  <c r="AL27" i="4" s="1"/>
  <c r="S35" i="4"/>
  <c r="AL35" i="4" s="1"/>
  <c r="S43" i="4"/>
  <c r="AL43" i="4" s="1"/>
  <c r="S51" i="4"/>
  <c r="AL51" i="4" s="1"/>
  <c r="S60" i="4"/>
  <c r="AL60" i="4" s="1"/>
  <c r="S134" i="4"/>
  <c r="AL134" i="4" s="1"/>
  <c r="S98" i="4"/>
  <c r="U98" i="4" s="1"/>
  <c r="S65" i="4"/>
  <c r="AL65" i="4" s="1"/>
  <c r="S92" i="4"/>
  <c r="AL92" i="4" s="1"/>
  <c r="S123" i="4"/>
  <c r="AL123" i="4" s="1"/>
  <c r="S149" i="4"/>
  <c r="AL149" i="4" s="1"/>
  <c r="S91" i="4"/>
  <c r="AL91" i="4" s="1"/>
  <c r="S133" i="4"/>
  <c r="AS133" i="4" s="1"/>
  <c r="S145" i="4"/>
  <c r="AL145" i="4" s="1"/>
  <c r="S138" i="4"/>
  <c r="AL138" i="4" s="1"/>
  <c r="S113" i="4"/>
  <c r="AL113" i="4" s="1"/>
  <c r="S89" i="4"/>
  <c r="AL89" i="4" s="1"/>
  <c r="S7" i="4"/>
  <c r="AL7" i="4" s="1"/>
  <c r="S58" i="4"/>
  <c r="AL58" i="4" s="1"/>
  <c r="S122" i="4"/>
  <c r="AL122" i="4" s="1"/>
  <c r="S73" i="4"/>
  <c r="V73" i="4" s="1"/>
  <c r="AM73" i="4" s="1"/>
  <c r="S20" i="4"/>
  <c r="AL20" i="4" s="1"/>
  <c r="S28" i="4"/>
  <c r="AL28" i="4" s="1"/>
  <c r="S36" i="4"/>
  <c r="AL36" i="4" s="1"/>
  <c r="S44" i="4"/>
  <c r="AL44" i="4" s="1"/>
  <c r="S52" i="4"/>
  <c r="AL52" i="4" s="1"/>
  <c r="S67" i="4"/>
  <c r="AL67" i="4" s="1"/>
  <c r="S68" i="4"/>
  <c r="AL68" i="4" s="1"/>
  <c r="S102" i="4"/>
  <c r="AL102" i="4" s="1"/>
  <c r="S66" i="4"/>
  <c r="AL66" i="4" s="1"/>
  <c r="S96" i="4"/>
  <c r="AL96" i="4" s="1"/>
  <c r="S124" i="4"/>
  <c r="AL124" i="4" s="1"/>
  <c r="S153" i="4"/>
  <c r="AL153" i="4" s="1"/>
  <c r="S95" i="4"/>
  <c r="AL95" i="4" s="1"/>
  <c r="S77" i="4"/>
  <c r="V77" i="4" s="1"/>
  <c r="S156" i="4"/>
  <c r="AL156" i="4" s="1"/>
  <c r="S141" i="4"/>
  <c r="AS141" i="4" s="1"/>
  <c r="S117" i="4"/>
  <c r="AL117" i="4" s="1"/>
  <c r="S108" i="4"/>
  <c r="AL108" i="4" s="1"/>
  <c r="S50" i="4"/>
  <c r="AL50" i="4" s="1"/>
  <c r="S88" i="4"/>
  <c r="AL88" i="4" s="1"/>
  <c r="S118" i="4"/>
  <c r="U118" i="4" s="1"/>
  <c r="S15" i="4"/>
  <c r="AL15" i="4" s="1"/>
  <c r="S21" i="4"/>
  <c r="S29" i="4"/>
  <c r="AL29" i="4" s="1"/>
  <c r="S37" i="4"/>
  <c r="AL37" i="4" s="1"/>
  <c r="S45" i="4"/>
  <c r="AL45" i="4" s="1"/>
  <c r="S53" i="4"/>
  <c r="AL53" i="4" s="1"/>
  <c r="S62" i="4"/>
  <c r="U62" i="4" s="1"/>
  <c r="S74" i="4"/>
  <c r="AL74" i="4" s="1"/>
  <c r="S109" i="4"/>
  <c r="AL109" i="4" s="1"/>
  <c r="S71" i="4"/>
  <c r="AL71" i="4" s="1"/>
  <c r="S100" i="4"/>
  <c r="AL100" i="4" s="1"/>
  <c r="S125" i="4"/>
  <c r="AL125" i="4" s="1"/>
  <c r="S8" i="4"/>
  <c r="AL8" i="4" s="1"/>
  <c r="S103" i="4"/>
  <c r="AL103" i="4" s="1"/>
  <c r="S93" i="4"/>
  <c r="AL93" i="4" s="1"/>
  <c r="S9" i="4"/>
  <c r="AL9" i="4" s="1"/>
  <c r="S152" i="4"/>
  <c r="AL152" i="4" s="1"/>
  <c r="S147" i="4"/>
  <c r="AL147" i="4" s="1"/>
  <c r="S116" i="4"/>
  <c r="AL116" i="4" s="1"/>
  <c r="S26" i="4"/>
  <c r="AL26" i="4" s="1"/>
  <c r="S130" i="4"/>
  <c r="U130" i="4" s="1"/>
  <c r="S83" i="4"/>
  <c r="AL83" i="4" s="1"/>
  <c r="S101" i="4"/>
  <c r="S63" i="4"/>
  <c r="AL63" i="4" s="1"/>
  <c r="S22" i="4"/>
  <c r="AL22" i="4" s="1"/>
  <c r="S30" i="4"/>
  <c r="AL30" i="4" s="1"/>
  <c r="S38" i="4"/>
  <c r="AL38" i="4" s="1"/>
  <c r="S46" i="4"/>
  <c r="AL46" i="4" s="1"/>
  <c r="S54" i="4"/>
  <c r="AL54" i="4" s="1"/>
  <c r="S69" i="4"/>
  <c r="AL69" i="4" s="1"/>
  <c r="S78" i="4"/>
  <c r="AL78" i="4" s="1"/>
  <c r="S110" i="4"/>
  <c r="AL110" i="4" s="1"/>
  <c r="S72" i="4"/>
  <c r="AL72" i="4" s="1"/>
  <c r="S105" i="4"/>
  <c r="V105" i="4" s="1"/>
  <c r="S126" i="4"/>
  <c r="AL126" i="4" s="1"/>
  <c r="S61" i="4"/>
  <c r="AL61" i="4" s="1"/>
  <c r="S104" i="4"/>
  <c r="AL104" i="4" s="1"/>
  <c r="S107" i="4"/>
  <c r="AL107" i="4" s="1"/>
  <c r="S10" i="4"/>
  <c r="AS10" i="4" s="1"/>
  <c r="S155" i="4"/>
  <c r="AS155" i="4" s="1"/>
  <c r="S148" i="4"/>
  <c r="AL148" i="4" s="1"/>
  <c r="S143" i="4"/>
  <c r="U143" i="4" s="1"/>
  <c r="S18" i="4"/>
  <c r="AL18" i="4" s="1"/>
  <c r="S94" i="4"/>
  <c r="S132" i="4"/>
  <c r="S64" i="4"/>
  <c r="AL64" i="4" s="1"/>
  <c r="S23" i="4"/>
  <c r="AL23" i="4" s="1"/>
  <c r="S31" i="4"/>
  <c r="AL31" i="4" s="1"/>
  <c r="S39" i="4"/>
  <c r="AL39" i="4" s="1"/>
  <c r="S47" i="4"/>
  <c r="AL47" i="4" s="1"/>
  <c r="S55" i="4"/>
  <c r="AL55" i="4" s="1"/>
  <c r="S87" i="4"/>
  <c r="AL87" i="4" s="1"/>
  <c r="S82" i="4"/>
  <c r="AL82" i="4" s="1"/>
  <c r="S119" i="4"/>
  <c r="AL119" i="4" s="1"/>
  <c r="S76" i="4"/>
  <c r="AL76" i="4" s="1"/>
  <c r="S106" i="4"/>
  <c r="AL106" i="4" s="1"/>
  <c r="S135" i="4"/>
  <c r="AL135" i="4" s="1"/>
  <c r="S70" i="4"/>
  <c r="AL70" i="4" s="1"/>
  <c r="S111" i="4"/>
  <c r="AL111" i="4" s="1"/>
  <c r="S115" i="4"/>
  <c r="AL115" i="4" s="1"/>
  <c r="S81" i="4"/>
  <c r="AL81" i="4" s="1"/>
  <c r="S13" i="4"/>
  <c r="AL13" i="4" s="1"/>
  <c r="S151" i="4"/>
  <c r="AL151" i="4" s="1"/>
  <c r="S146" i="4"/>
  <c r="AL146" i="4" s="1"/>
  <c r="S42" i="4"/>
  <c r="AL42" i="4" s="1"/>
  <c r="S144" i="4"/>
  <c r="AL144" i="4" s="1"/>
  <c r="S11" i="4"/>
  <c r="AL11" i="4" s="1"/>
  <c r="S16" i="4"/>
  <c r="AL16" i="4" s="1"/>
  <c r="S24" i="4"/>
  <c r="AL24" i="4" s="1"/>
  <c r="S32" i="4"/>
  <c r="AL32" i="4" s="1"/>
  <c r="S40" i="4"/>
  <c r="AL40" i="4" s="1"/>
  <c r="S48" i="4"/>
  <c r="AL48" i="4" s="1"/>
  <c r="S56" i="4"/>
  <c r="AL56" i="4" s="1"/>
  <c r="S99" i="4"/>
  <c r="AL99" i="4" s="1"/>
  <c r="S86" i="4"/>
  <c r="AL86" i="4" s="1"/>
  <c r="S128" i="4"/>
  <c r="AL128" i="4" s="1"/>
  <c r="S80" i="4"/>
  <c r="AL80" i="4" s="1"/>
  <c r="S112" i="4"/>
  <c r="AL112" i="4" s="1"/>
  <c r="S139" i="4"/>
  <c r="AL139" i="4" s="1"/>
  <c r="S75" i="4"/>
  <c r="AL75" i="4" s="1"/>
  <c r="S129" i="4"/>
  <c r="AL129" i="4" s="1"/>
  <c r="S127" i="4"/>
  <c r="AL127" i="4" s="1"/>
  <c r="S97" i="4"/>
  <c r="AL97" i="4" s="1"/>
  <c r="S14" i="4"/>
  <c r="AL14" i="4" s="1"/>
  <c r="S154" i="4"/>
  <c r="AL154" i="4" s="1"/>
  <c r="S150" i="4"/>
  <c r="AL150" i="4" s="1"/>
  <c r="S17" i="4"/>
  <c r="AL17" i="4" s="1"/>
  <c r="S25" i="4"/>
  <c r="AL25" i="4" s="1"/>
  <c r="S33" i="4"/>
  <c r="AL33" i="4" s="1"/>
  <c r="S41" i="4"/>
  <c r="AL41" i="4" s="1"/>
  <c r="S49" i="4"/>
  <c r="AL49" i="4" s="1"/>
  <c r="S57" i="4"/>
  <c r="AL57" i="4" s="1"/>
  <c r="S120" i="4"/>
  <c r="AL120" i="4" s="1"/>
  <c r="S90" i="4"/>
  <c r="AL90" i="4" s="1"/>
  <c r="S137" i="4"/>
  <c r="AL137" i="4" s="1"/>
  <c r="S84" i="4"/>
  <c r="V84" i="4" s="1"/>
  <c r="S121" i="4"/>
  <c r="AL121" i="4" s="1"/>
  <c r="S140" i="4"/>
  <c r="V140" i="4" s="1"/>
  <c r="S79" i="4"/>
  <c r="S131" i="4"/>
  <c r="AL131" i="4" s="1"/>
  <c r="S136" i="4"/>
  <c r="AL136" i="4" s="1"/>
  <c r="S114" i="4"/>
  <c r="AL114" i="4" s="1"/>
  <c r="S85" i="4"/>
  <c r="AL85" i="4" s="1"/>
  <c r="S12" i="4"/>
  <c r="AL12" i="4" s="1"/>
  <c r="S157" i="4"/>
  <c r="V157" i="4" s="1"/>
  <c r="S34" i="4"/>
  <c r="S59" i="4"/>
  <c r="S142" i="4"/>
  <c r="AL142" i="4" s="1"/>
  <c r="W546" i="5"/>
  <c r="Y546" i="5" s="1"/>
  <c r="W424" i="5"/>
  <c r="X424" i="5" s="1"/>
  <c r="W448" i="5"/>
  <c r="X448" i="5" s="1"/>
  <c r="W496" i="5"/>
  <c r="Y496" i="5" s="1"/>
  <c r="W320" i="5"/>
  <c r="X320" i="5" s="1"/>
  <c r="W344" i="5"/>
  <c r="Y344" i="5" s="1"/>
  <c r="W368" i="5"/>
  <c r="Y368" i="5" s="1"/>
  <c r="W312" i="5"/>
  <c r="X312" i="5" s="1"/>
  <c r="W48" i="5"/>
  <c r="X48" i="5" s="1"/>
  <c r="W96" i="5"/>
  <c r="Y96" i="5" s="1"/>
  <c r="W553" i="5"/>
  <c r="Y553" i="5" s="1"/>
  <c r="W220" i="5"/>
  <c r="X220" i="5" s="1"/>
  <c r="W89" i="5"/>
  <c r="Y89" i="5" s="1"/>
  <c r="W218" i="5"/>
  <c r="Y218" i="5" s="1"/>
  <c r="W324" i="5"/>
  <c r="Y324" i="5" s="1"/>
  <c r="W390" i="5"/>
  <c r="Y390" i="5" s="1"/>
  <c r="W425" i="5"/>
  <c r="X425" i="5" s="1"/>
  <c r="W361" i="5"/>
  <c r="X361" i="5" s="1"/>
  <c r="W362" i="5"/>
  <c r="X362" i="5" s="1"/>
  <c r="W67" i="5"/>
  <c r="X67" i="5" s="1"/>
  <c r="W105" i="5"/>
  <c r="X105" i="5" s="1"/>
  <c r="W503" i="5"/>
  <c r="X503" i="5" s="1"/>
  <c r="W494" i="5"/>
  <c r="X494" i="5" s="1"/>
  <c r="W58" i="5"/>
  <c r="Y58" i="5" s="1"/>
  <c r="W552" i="5"/>
  <c r="Y552" i="5" s="1"/>
  <c r="W332" i="5"/>
  <c r="X332" i="5" s="1"/>
  <c r="W93" i="5"/>
  <c r="X93" i="5" s="1"/>
  <c r="W476" i="5"/>
  <c r="Y476" i="5" s="1"/>
  <c r="W478" i="5"/>
  <c r="Y478" i="5" s="1"/>
  <c r="W164" i="5"/>
  <c r="Y164" i="5" s="1"/>
  <c r="W474" i="5"/>
  <c r="Y474" i="5" s="1"/>
  <c r="W273" i="5"/>
  <c r="Y273" i="5" s="1"/>
  <c r="W244" i="5"/>
  <c r="Y244" i="5" s="1"/>
  <c r="W129" i="5"/>
  <c r="Y129" i="5" s="1"/>
  <c r="W163" i="5"/>
  <c r="X163" i="5" s="1"/>
  <c r="W167" i="5"/>
  <c r="W318" i="5"/>
  <c r="X318" i="5" s="1"/>
  <c r="W310" i="5"/>
  <c r="Y310" i="5" s="1"/>
  <c r="W44" i="5"/>
  <c r="Y44" i="5" s="1"/>
  <c r="W233" i="5"/>
  <c r="X233" i="5" s="1"/>
  <c r="W36" i="5"/>
  <c r="Y36" i="5" s="1"/>
  <c r="W82" i="5"/>
  <c r="X82" i="5" s="1"/>
  <c r="W428" i="5"/>
  <c r="Y428" i="5" s="1"/>
  <c r="W471" i="5"/>
  <c r="Y471" i="5" s="1"/>
  <c r="W21" i="5"/>
  <c r="Y21" i="5" s="1"/>
  <c r="W559" i="5"/>
  <c r="Y559" i="5" s="1"/>
  <c r="W410" i="5"/>
  <c r="X410" i="5" s="1"/>
  <c r="W222" i="5"/>
  <c r="Y222" i="5" s="1"/>
  <c r="W254" i="5"/>
  <c r="Y254" i="5" s="1"/>
  <c r="W130" i="5"/>
  <c r="X130" i="5" s="1"/>
  <c r="W235" i="5"/>
  <c r="W377" i="5"/>
  <c r="W461" i="5"/>
  <c r="W207" i="5"/>
  <c r="Y207" i="5" s="1"/>
  <c r="W408" i="5"/>
  <c r="X408" i="5" s="1"/>
  <c r="W47" i="5"/>
  <c r="W77" i="5"/>
  <c r="X77" i="5" s="1"/>
  <c r="W307" i="5"/>
  <c r="W445" i="5"/>
  <c r="Y445" i="5" s="1"/>
  <c r="W429" i="5"/>
  <c r="X429" i="5" s="1"/>
  <c r="W185" i="5"/>
  <c r="X185" i="5" s="1"/>
  <c r="W423" i="5"/>
  <c r="X423" i="5" s="1"/>
  <c r="W442" i="5"/>
  <c r="Y442" i="5" s="1"/>
  <c r="W248" i="5"/>
  <c r="Y248" i="5" s="1"/>
  <c r="W456" i="5"/>
  <c r="W504" i="5"/>
  <c r="Y504" i="5" s="1"/>
  <c r="W376" i="5"/>
  <c r="X376" i="5" s="1"/>
  <c r="W400" i="5"/>
  <c r="Y400" i="5" s="1"/>
  <c r="W224" i="5"/>
  <c r="Y224" i="5" s="1"/>
  <c r="W256" i="5"/>
  <c r="Y256" i="5" s="1"/>
  <c r="W288" i="5"/>
  <c r="X288" i="5" s="1"/>
  <c r="W120" i="5"/>
  <c r="X120" i="5" s="1"/>
  <c r="W56" i="5"/>
  <c r="W104" i="5"/>
  <c r="Y104" i="5" s="1"/>
  <c r="W148" i="5"/>
  <c r="X148" i="5" s="1"/>
  <c r="W491" i="5"/>
  <c r="Y491" i="5" s="1"/>
  <c r="W322" i="5"/>
  <c r="Y322" i="5" s="1"/>
  <c r="W114" i="5"/>
  <c r="Y114" i="5" s="1"/>
  <c r="W347" i="5"/>
  <c r="Y347" i="5" s="1"/>
  <c r="W378" i="5"/>
  <c r="X378" i="5" s="1"/>
  <c r="W528" i="5"/>
  <c r="Y528" i="5" s="1"/>
  <c r="W508" i="5"/>
  <c r="Y508" i="5" s="1"/>
  <c r="W327" i="5"/>
  <c r="Y327" i="5" s="1"/>
  <c r="W271" i="5"/>
  <c r="X271" i="5" s="1"/>
  <c r="W37" i="5"/>
  <c r="X37" i="5" s="1"/>
  <c r="W356" i="5"/>
  <c r="X356" i="5" s="1"/>
  <c r="W409" i="5"/>
  <c r="Y409" i="5" s="1"/>
  <c r="W530" i="5"/>
  <c r="X530" i="5" s="1"/>
  <c r="W269" i="5"/>
  <c r="W206" i="5"/>
  <c r="Y206" i="5" s="1"/>
  <c r="W20" i="5"/>
  <c r="X20" i="5" s="1"/>
  <c r="W300" i="5"/>
  <c r="Y300" i="5" s="1"/>
  <c r="W393" i="5"/>
  <c r="Y393" i="5" s="1"/>
  <c r="W34" i="5"/>
  <c r="Y34" i="5" s="1"/>
  <c r="W391" i="5"/>
  <c r="X391" i="5" s="1"/>
  <c r="W373" i="5"/>
  <c r="W145" i="5"/>
  <c r="X145" i="5" s="1"/>
  <c r="W178" i="5"/>
  <c r="Y178" i="5" s="1"/>
  <c r="W458" i="5"/>
  <c r="X458" i="5" s="1"/>
  <c r="W511" i="5"/>
  <c r="Y511" i="5" s="1"/>
  <c r="W134" i="5"/>
  <c r="X134" i="5" s="1"/>
  <c r="W236" i="5"/>
  <c r="X236" i="5" s="1"/>
  <c r="W411" i="5"/>
  <c r="X411" i="5" s="1"/>
  <c r="W278" i="5"/>
  <c r="Y278" i="5" s="1"/>
  <c r="W311" i="5"/>
  <c r="Y311" i="5" s="1"/>
  <c r="W39" i="5"/>
  <c r="X39" i="5" s="1"/>
  <c r="W261" i="5"/>
  <c r="Y261" i="5" s="1"/>
  <c r="W473" i="5"/>
  <c r="X473" i="5" s="1"/>
  <c r="W475" i="5"/>
  <c r="Y475" i="5" s="1"/>
  <c r="W430" i="5"/>
  <c r="X430" i="5" s="1"/>
  <c r="W45" i="5"/>
  <c r="X45" i="5" s="1"/>
  <c r="W174" i="5"/>
  <c r="Y174" i="5" s="1"/>
  <c r="W195" i="5"/>
  <c r="Y195" i="5" s="1"/>
  <c r="W505" i="5"/>
  <c r="Y505" i="5" s="1"/>
  <c r="W69" i="5"/>
  <c r="X69" i="5" s="1"/>
  <c r="W172" i="5"/>
  <c r="X172" i="5" s="1"/>
  <c r="W297" i="5"/>
  <c r="X297" i="5" s="1"/>
  <c r="W523" i="5"/>
  <c r="X523" i="5" s="1"/>
  <c r="W257" i="5"/>
  <c r="Y257" i="5" s="1"/>
  <c r="W258" i="5"/>
  <c r="Y258" i="5" s="1"/>
  <c r="W53" i="5"/>
  <c r="X53" i="5" s="1"/>
  <c r="W406" i="5"/>
  <c r="Y406" i="5" s="1"/>
  <c r="W213" i="5"/>
  <c r="X213" i="5" s="1"/>
  <c r="W460" i="5"/>
  <c r="X460" i="5" s="1"/>
  <c r="W46" i="5"/>
  <c r="X46" i="5" s="1"/>
  <c r="W268" i="5"/>
  <c r="X268" i="5" s="1"/>
  <c r="B40" i="5"/>
  <c r="AS24" i="4"/>
  <c r="W32" i="5"/>
  <c r="Y32" i="5" s="1"/>
  <c r="W432" i="5"/>
  <c r="Y432" i="5" s="1"/>
  <c r="W480" i="5"/>
  <c r="X480" i="5" s="1"/>
  <c r="W328" i="5"/>
  <c r="Y328" i="5" s="1"/>
  <c r="W144" i="5"/>
  <c r="X144" i="5" s="1"/>
  <c r="W200" i="5"/>
  <c r="Y200" i="5" s="1"/>
  <c r="W522" i="5"/>
  <c r="Y522" i="5" s="1"/>
  <c r="W283" i="5"/>
  <c r="Y283" i="5" s="1"/>
  <c r="W326" i="5"/>
  <c r="X326" i="5" s="1"/>
  <c r="W111" i="5"/>
  <c r="Y111" i="5" s="1"/>
  <c r="W149" i="5"/>
  <c r="Y149" i="5" s="1"/>
  <c r="W396" i="5"/>
  <c r="X396" i="5" s="1"/>
  <c r="W518" i="5"/>
  <c r="Y518" i="5" s="1"/>
  <c r="W294" i="5"/>
  <c r="X294" i="5" s="1"/>
  <c r="W306" i="5"/>
  <c r="Y306" i="5" s="1"/>
  <c r="W81" i="5"/>
  <c r="X81" i="5" s="1"/>
  <c r="W289" i="5"/>
  <c r="X289" i="5" s="1"/>
  <c r="W367" i="5"/>
  <c r="Y367" i="5" s="1"/>
  <c r="W401" i="5"/>
  <c r="X401" i="5" s="1"/>
  <c r="W292" i="5"/>
  <c r="Y292" i="5" s="1"/>
  <c r="W415" i="5"/>
  <c r="X415" i="5" s="1"/>
  <c r="W91" i="5"/>
  <c r="Y91" i="5" s="1"/>
  <c r="W265" i="5"/>
  <c r="X265" i="5" s="1"/>
  <c r="W346" i="5"/>
  <c r="X346" i="5" s="1"/>
  <c r="W387" i="5"/>
  <c r="Y387" i="5" s="1"/>
  <c r="W308" i="5"/>
  <c r="X308" i="5" s="1"/>
  <c r="W190" i="5"/>
  <c r="X190" i="5" s="1"/>
  <c r="W109" i="5"/>
  <c r="X109" i="5" s="1"/>
  <c r="W117" i="5"/>
  <c r="Y117" i="5" s="1"/>
  <c r="W443" i="5"/>
  <c r="X443" i="5" s="1"/>
  <c r="W483" i="5"/>
  <c r="Y483" i="5" s="1"/>
  <c r="W49" i="5"/>
  <c r="W459" i="5"/>
  <c r="W285" i="5"/>
  <c r="W242" i="5"/>
  <c r="X242" i="5" s="1"/>
  <c r="W263" i="5"/>
  <c r="Y263" i="5" s="1"/>
  <c r="W95" i="5"/>
  <c r="Y95" i="5" s="1"/>
  <c r="W298" i="5"/>
  <c r="Y298" i="5" s="1"/>
  <c r="W371" i="5"/>
  <c r="X371" i="5" s="1"/>
  <c r="W97" i="5"/>
  <c r="X97" i="5" s="1"/>
  <c r="W253" i="5"/>
  <c r="X253" i="5" s="1"/>
  <c r="W214" i="5"/>
  <c r="X214" i="5" s="1"/>
  <c r="W113" i="5"/>
  <c r="W166" i="5"/>
  <c r="Y166" i="5" s="1"/>
  <c r="W389" i="5"/>
  <c r="X389" i="5" s="1"/>
  <c r="W468" i="5"/>
  <c r="Y468" i="5" s="1"/>
  <c r="W115" i="5"/>
  <c r="X115" i="5" s="1"/>
  <c r="W520" i="5"/>
  <c r="X520" i="5" s="1"/>
  <c r="W506" i="5"/>
  <c r="X506" i="5" s="1"/>
  <c r="W193" i="5"/>
  <c r="W221" i="5"/>
  <c r="X221" i="5" s="1"/>
  <c r="W108" i="5"/>
  <c r="Y108" i="5" s="1"/>
  <c r="W313" i="5"/>
  <c r="Y313" i="5" s="1"/>
  <c r="W226" i="5"/>
  <c r="Y226" i="5" s="1"/>
  <c r="W479" i="5"/>
  <c r="W50" i="5"/>
  <c r="W275" i="5"/>
  <c r="Y275" i="5" s="1"/>
  <c r="W342" i="5"/>
  <c r="X342" i="5" s="1"/>
  <c r="W352" i="5"/>
  <c r="X352" i="5" s="1"/>
  <c r="W534" i="5"/>
  <c r="Y534" i="5" s="1"/>
  <c r="W264" i="5"/>
  <c r="X264" i="5" s="1"/>
  <c r="W176" i="5"/>
  <c r="X176" i="5" s="1"/>
  <c r="W64" i="5"/>
  <c r="Y64" i="5" s="1"/>
  <c r="W112" i="5"/>
  <c r="W537" i="5"/>
  <c r="Y537" i="5" s="1"/>
  <c r="W126" i="5"/>
  <c r="X126" i="5" s="1"/>
  <c r="W544" i="5"/>
  <c r="X544" i="5" s="1"/>
  <c r="W107" i="5"/>
  <c r="X107" i="5" s="1"/>
  <c r="W314" i="5"/>
  <c r="X314" i="5" s="1"/>
  <c r="W338" i="5"/>
  <c r="Y338" i="5" s="1"/>
  <c r="W170" i="5"/>
  <c r="Y170" i="5" s="1"/>
  <c r="W201" i="5"/>
  <c r="Y201" i="5" s="1"/>
  <c r="W198" i="5"/>
  <c r="Y198" i="5" s="1"/>
  <c r="W286" i="5"/>
  <c r="X286" i="5" s="1"/>
  <c r="W140" i="5"/>
  <c r="Y140" i="5" s="1"/>
  <c r="W196" i="5"/>
  <c r="X196" i="5" s="1"/>
  <c r="W302" i="5"/>
  <c r="Y302" i="5" s="1"/>
  <c r="W431" i="5"/>
  <c r="Y431" i="5" s="1"/>
  <c r="W76" i="5"/>
  <c r="X76" i="5" s="1"/>
  <c r="W59" i="5"/>
  <c r="X59" i="5" s="1"/>
  <c r="W179" i="5"/>
  <c r="X179" i="5" s="1"/>
  <c r="W231" i="5"/>
  <c r="Y231" i="5" s="1"/>
  <c r="W251" i="5"/>
  <c r="X251" i="5" s="1"/>
  <c r="W498" i="5"/>
  <c r="Y498" i="5" s="1"/>
  <c r="W43" i="5"/>
  <c r="Y43" i="5" s="1"/>
  <c r="W303" i="5"/>
  <c r="Y303" i="5" s="1"/>
  <c r="W54" i="5"/>
  <c r="X54" i="5" s="1"/>
  <c r="W84" i="5"/>
  <c r="X84" i="5" s="1"/>
  <c r="W465" i="5"/>
  <c r="Y465" i="5" s="1"/>
  <c r="W450" i="5"/>
  <c r="X450" i="5" s="1"/>
  <c r="W246" i="5"/>
  <c r="X246" i="5" s="1"/>
  <c r="W539" i="5"/>
  <c r="X539" i="5" s="1"/>
  <c r="W329" i="5"/>
  <c r="Y329" i="5" s="1"/>
  <c r="W228" i="5"/>
  <c r="Y228" i="5" s="1"/>
  <c r="W232" i="5"/>
  <c r="Y232" i="5" s="1"/>
  <c r="W191" i="5"/>
  <c r="Y191" i="5" s="1"/>
  <c r="W287" i="5"/>
  <c r="X287" i="5" s="1"/>
  <c r="W412" i="5"/>
  <c r="Y412" i="5" s="1"/>
  <c r="W407" i="5"/>
  <c r="X407" i="5" s="1"/>
  <c r="W309" i="5"/>
  <c r="Y309" i="5" s="1"/>
  <c r="W525" i="5"/>
  <c r="Y525" i="5" s="1"/>
  <c r="W63" i="5"/>
  <c r="X63" i="5" s="1"/>
  <c r="W121" i="5"/>
  <c r="X121" i="5" s="1"/>
  <c r="W402" i="5"/>
  <c r="X402" i="5" s="1"/>
  <c r="W433" i="5"/>
  <c r="X433" i="5" s="1"/>
  <c r="W35" i="5"/>
  <c r="X35" i="5" s="1"/>
  <c r="W560" i="5"/>
  <c r="Y560" i="5" s="1"/>
  <c r="W381" i="5"/>
  <c r="X381" i="5" s="1"/>
  <c r="W187" i="5"/>
  <c r="X187" i="5" s="1"/>
  <c r="W245" i="5"/>
  <c r="X245" i="5" s="1"/>
  <c r="W241" i="5"/>
  <c r="X241" i="5" s="1"/>
  <c r="W238" i="5"/>
  <c r="X238" i="5" s="1"/>
  <c r="W119" i="5"/>
  <c r="X119" i="5" s="1"/>
  <c r="W276" i="5"/>
  <c r="Y276" i="5" s="1"/>
  <c r="W141" i="5"/>
  <c r="X141" i="5" s="1"/>
  <c r="W414" i="5"/>
  <c r="Y414" i="5" s="1"/>
  <c r="V98" i="4"/>
  <c r="W98" i="4" s="1"/>
  <c r="Y98" i="4" s="1"/>
  <c r="W208" i="5"/>
  <c r="X208" i="5" s="1"/>
  <c r="W538" i="5"/>
  <c r="Y538" i="5" s="1"/>
  <c r="W440" i="5"/>
  <c r="X440" i="5" s="1"/>
  <c r="W464" i="5"/>
  <c r="X464" i="5" s="1"/>
  <c r="W336" i="5"/>
  <c r="X336" i="5" s="1"/>
  <c r="W384" i="5"/>
  <c r="X384" i="5" s="1"/>
  <c r="W296" i="5"/>
  <c r="X296" i="5" s="1"/>
  <c r="W128" i="5"/>
  <c r="Y128" i="5" s="1"/>
  <c r="W40" i="5"/>
  <c r="Y40" i="5" s="1"/>
  <c r="W88" i="5"/>
  <c r="Y88" i="5" s="1"/>
  <c r="W79" i="5"/>
  <c r="Y79" i="5" s="1"/>
  <c r="W543" i="5"/>
  <c r="X543" i="5" s="1"/>
  <c r="W355" i="5"/>
  <c r="Y355" i="5" s="1"/>
  <c r="W444" i="5"/>
  <c r="X444" i="5" s="1"/>
  <c r="W153" i="5"/>
  <c r="X153" i="5" s="1"/>
  <c r="W25" i="5"/>
  <c r="Y25" i="5" s="1"/>
  <c r="W38" i="5"/>
  <c r="X38" i="5" s="1"/>
  <c r="W165" i="5"/>
  <c r="Y165" i="5" s="1"/>
  <c r="W175" i="5"/>
  <c r="X175" i="5" s="1"/>
  <c r="W542" i="5"/>
  <c r="X542" i="5" s="1"/>
  <c r="W143" i="5"/>
  <c r="X143" i="5" s="1"/>
  <c r="W225" i="5"/>
  <c r="X225" i="5" s="1"/>
  <c r="W99" i="5"/>
  <c r="X99" i="5" s="1"/>
  <c r="W500" i="5"/>
  <c r="X500" i="5" s="1"/>
  <c r="W247" i="5"/>
  <c r="Y247" i="5" s="1"/>
  <c r="W532" i="5"/>
  <c r="Y532" i="5" s="1"/>
  <c r="W92" i="5"/>
  <c r="X92" i="5" s="1"/>
  <c r="W229" i="5"/>
  <c r="Y229" i="5" s="1"/>
  <c r="W123" i="5"/>
  <c r="Y123" i="5" s="1"/>
  <c r="W457" i="5"/>
  <c r="Y457" i="5" s="1"/>
  <c r="W359" i="5"/>
  <c r="X359" i="5" s="1"/>
  <c r="W350" i="5"/>
  <c r="X350" i="5" s="1"/>
  <c r="W52" i="5"/>
  <c r="Y52" i="5" s="1"/>
  <c r="W349" i="5"/>
  <c r="Y349" i="5" s="1"/>
  <c r="W487" i="5"/>
  <c r="X487" i="5" s="1"/>
  <c r="W466" i="5"/>
  <c r="Y466" i="5" s="1"/>
  <c r="W469" i="5"/>
  <c r="X469" i="5" s="1"/>
  <c r="W94" i="5"/>
  <c r="Y94" i="5" s="1"/>
  <c r="W173" i="5"/>
  <c r="X173" i="5" s="1"/>
  <c r="W219" i="5"/>
  <c r="X219" i="5" s="1"/>
  <c r="W23" i="5"/>
  <c r="Y23" i="5" s="1"/>
  <c r="W169" i="5"/>
  <c r="X169" i="5" s="1"/>
  <c r="W279" i="5"/>
  <c r="X279" i="5" s="1"/>
  <c r="W486" i="5"/>
  <c r="X486" i="5" s="1"/>
  <c r="W19" i="5"/>
  <c r="Y19" i="5" s="1"/>
  <c r="W419" i="5"/>
  <c r="X419" i="5" s="1"/>
  <c r="W61" i="5"/>
  <c r="Y61" i="5" s="1"/>
  <c r="W90" i="5"/>
  <c r="X90" i="5" s="1"/>
  <c r="W426" i="5"/>
  <c r="Y426" i="5" s="1"/>
  <c r="W417" i="5"/>
  <c r="X417" i="5" s="1"/>
  <c r="W252" i="5"/>
  <c r="X252" i="5" s="1"/>
  <c r="W462" i="5"/>
  <c r="Y462" i="5" s="1"/>
  <c r="W211" i="5"/>
  <c r="X211" i="5" s="1"/>
  <c r="W162" i="5"/>
  <c r="X162" i="5" s="1"/>
  <c r="W205" i="5"/>
  <c r="W548" i="5"/>
  <c r="Y548" i="5" s="1"/>
  <c r="W147" i="5"/>
  <c r="W388" i="5"/>
  <c r="Y388" i="5" s="1"/>
  <c r="W249" i="5"/>
  <c r="Y249" i="5" s="1"/>
  <c r="W397" i="5"/>
  <c r="X397" i="5" s="1"/>
  <c r="W556" i="5"/>
  <c r="X556" i="5" s="1"/>
  <c r="W527" i="5"/>
  <c r="X527" i="5" s="1"/>
  <c r="W152" i="5"/>
  <c r="X152" i="5" s="1"/>
  <c r="W280" i="5"/>
  <c r="Y280" i="5" s="1"/>
  <c r="W488" i="5"/>
  <c r="Y488" i="5" s="1"/>
  <c r="W512" i="5"/>
  <c r="Y512" i="5" s="1"/>
  <c r="W360" i="5"/>
  <c r="X360" i="5" s="1"/>
  <c r="W416" i="5"/>
  <c r="X416" i="5" s="1"/>
  <c r="W240" i="5"/>
  <c r="Y240" i="5" s="1"/>
  <c r="W304" i="5"/>
  <c r="Y304" i="5" s="1"/>
  <c r="W8" i="5"/>
  <c r="X8" i="5" s="1"/>
  <c r="W317" i="5"/>
  <c r="X317" i="5" s="1"/>
  <c r="W30" i="5"/>
  <c r="X30" i="5" s="1"/>
  <c r="W277" i="5"/>
  <c r="X277" i="5" s="1"/>
  <c r="W385" i="5"/>
  <c r="X385" i="5" s="1"/>
  <c r="W150" i="5"/>
  <c r="X150" i="5" s="1"/>
  <c r="W250" i="5"/>
  <c r="X250" i="5" s="1"/>
  <c r="W142" i="5"/>
  <c r="X142" i="5" s="1"/>
  <c r="W182" i="5"/>
  <c r="X182" i="5" s="1"/>
  <c r="W133" i="5"/>
  <c r="Y133" i="5" s="1"/>
  <c r="W151" i="5"/>
  <c r="Y151" i="5" s="1"/>
  <c r="W519" i="5"/>
  <c r="Y519" i="5" s="1"/>
  <c r="W477" i="5"/>
  <c r="Y477" i="5" s="1"/>
  <c r="W171" i="5"/>
  <c r="W398" i="5"/>
  <c r="Y398" i="5" s="1"/>
  <c r="W489" i="5"/>
  <c r="W124" i="5"/>
  <c r="Y124" i="5" s="1"/>
  <c r="W485" i="5"/>
  <c r="X485" i="5" s="1"/>
  <c r="W541" i="5"/>
  <c r="Y541" i="5" s="1"/>
  <c r="W137" i="5"/>
  <c r="Y137" i="5" s="1"/>
  <c r="W354" i="5"/>
  <c r="Y354" i="5" s="1"/>
  <c r="W447" i="5"/>
  <c r="Y447" i="5" s="1"/>
  <c r="W295" i="5"/>
  <c r="Y295" i="5" s="1"/>
  <c r="W325" i="5"/>
  <c r="W33" i="5"/>
  <c r="X33" i="5" s="1"/>
  <c r="W357" i="5"/>
  <c r="X357" i="5" s="1"/>
  <c r="W380" i="5"/>
  <c r="X380" i="5" s="1"/>
  <c r="W85" i="5"/>
  <c r="Y85" i="5" s="1"/>
  <c r="W369" i="5"/>
  <c r="X369" i="5" s="1"/>
  <c r="W524" i="5"/>
  <c r="X524" i="5" s="1"/>
  <c r="W127" i="5"/>
  <c r="W180" i="5"/>
  <c r="X180" i="5" s="1"/>
  <c r="W547" i="5"/>
  <c r="W22" i="5"/>
  <c r="X22" i="5" s="1"/>
  <c r="W209" i="5"/>
  <c r="X209" i="5" s="1"/>
  <c r="W223" i="5"/>
  <c r="Y223" i="5" s="1"/>
  <c r="W558" i="5"/>
  <c r="X558" i="5" s="1"/>
  <c r="W316" i="5"/>
  <c r="Y316" i="5" s="1"/>
  <c r="W413" i="5"/>
  <c r="Y413" i="5" s="1"/>
  <c r="W57" i="5"/>
  <c r="X57" i="5" s="1"/>
  <c r="W421" i="5"/>
  <c r="X421" i="5" s="1"/>
  <c r="W463" i="5"/>
  <c r="X463" i="5" s="1"/>
  <c r="W540" i="5"/>
  <c r="Y540" i="5" s="1"/>
  <c r="W353" i="5"/>
  <c r="X353" i="5" s="1"/>
  <c r="W337" i="5"/>
  <c r="X337" i="5" s="1"/>
  <c r="W157" i="5"/>
  <c r="X157" i="5" s="1"/>
  <c r="W156" i="5"/>
  <c r="Y156" i="5" s="1"/>
  <c r="W437" i="5"/>
  <c r="X437" i="5" s="1"/>
  <c r="W31" i="5"/>
  <c r="Y31" i="5" s="1"/>
  <c r="W452" i="5"/>
  <c r="W234" i="5"/>
  <c r="Y234" i="5" s="1"/>
  <c r="W266" i="5"/>
  <c r="W370" i="5"/>
  <c r="W230" i="5"/>
  <c r="U69" i="4"/>
  <c r="AQ134" i="4"/>
  <c r="W383" i="5"/>
  <c r="X383" i="5" s="1"/>
  <c r="O9" i="5"/>
  <c r="W533" i="5"/>
  <c r="Y533" i="5" s="1"/>
  <c r="W395" i="5"/>
  <c r="Y395" i="5" s="1"/>
  <c r="W199" i="5"/>
  <c r="X199" i="5" s="1"/>
  <c r="W215" i="5"/>
  <c r="Y215" i="5" s="1"/>
  <c r="W493" i="5"/>
  <c r="X493" i="5" s="1"/>
  <c r="W116" i="5"/>
  <c r="X116" i="5" s="1"/>
  <c r="W315" i="5"/>
  <c r="W345" i="5"/>
  <c r="W404" i="5"/>
  <c r="W499" i="5"/>
  <c r="AQ141" i="4"/>
  <c r="U45" i="4"/>
  <c r="W363" i="5"/>
  <c r="W364" i="5"/>
  <c r="X364" i="5" s="1"/>
  <c r="W545" i="5"/>
  <c r="X545" i="5" s="1"/>
  <c r="W194" i="5"/>
  <c r="Y194" i="5" s="1"/>
  <c r="W131" i="5"/>
  <c r="X131" i="5" s="1"/>
  <c r="W188" i="5"/>
  <c r="X188" i="5" s="1"/>
  <c r="W555" i="5"/>
  <c r="X555" i="5" s="1"/>
  <c r="W41" i="5"/>
  <c r="X41" i="5" s="1"/>
  <c r="W202" i="5"/>
  <c r="Y202" i="5" s="1"/>
  <c r="W502" i="5"/>
  <c r="X502" i="5" s="1"/>
  <c r="W455" i="5"/>
  <c r="Y455" i="5" s="1"/>
  <c r="W514" i="5"/>
  <c r="X514" i="5" s="1"/>
  <c r="W495" i="5"/>
  <c r="Y495" i="5" s="1"/>
  <c r="W484" i="5"/>
  <c r="X484" i="5" s="1"/>
  <c r="W138" i="5"/>
  <c r="Y138" i="5" s="1"/>
  <c r="W155" i="5"/>
  <c r="Y155" i="5" s="1"/>
  <c r="W513" i="5"/>
  <c r="X513" i="5" s="1"/>
  <c r="W550" i="5"/>
  <c r="Y550" i="5" s="1"/>
  <c r="W87" i="5"/>
  <c r="X87" i="5" s="1"/>
  <c r="W482" i="5"/>
  <c r="Y482" i="5" s="1"/>
  <c r="W335" i="5"/>
  <c r="Y335" i="5" s="1"/>
  <c r="W427" i="5"/>
  <c r="V96" i="4"/>
  <c r="AM96" i="4" s="1"/>
  <c r="AN96" i="4" s="1"/>
  <c r="AQ73" i="4"/>
  <c r="U96" i="4"/>
  <c r="W420" i="5"/>
  <c r="Y420" i="5" s="1"/>
  <c r="W203" i="5"/>
  <c r="Y203" i="5" s="1"/>
  <c r="W434" i="5"/>
  <c r="Y434" i="5" s="1"/>
  <c r="W339" i="5"/>
  <c r="X339" i="5" s="1"/>
  <c r="W83" i="5"/>
  <c r="X83" i="5" s="1"/>
  <c r="W146" i="5"/>
  <c r="Y146" i="5" s="1"/>
  <c r="W529" i="5"/>
  <c r="X529" i="5" s="1"/>
  <c r="W284" i="5"/>
  <c r="X284" i="5" s="1"/>
  <c r="W186" i="5"/>
  <c r="X186" i="5" s="1"/>
  <c r="W516" i="5"/>
  <c r="Y516" i="5" s="1"/>
  <c r="W103" i="5"/>
  <c r="W73" i="5"/>
  <c r="Y73" i="5" s="1"/>
  <c r="V143" i="4"/>
  <c r="W509" i="5"/>
  <c r="Y509" i="5" s="1"/>
  <c r="W227" i="5"/>
  <c r="Y227" i="5" s="1"/>
  <c r="W374" i="5"/>
  <c r="W42" i="5"/>
  <c r="X42" i="5" s="1"/>
  <c r="W70" i="5"/>
  <c r="X70" i="5" s="1"/>
  <c r="W418" i="5"/>
  <c r="X418" i="5" s="1"/>
  <c r="W217" i="5"/>
  <c r="X217" i="5" s="1"/>
  <c r="W446" i="5"/>
  <c r="X446" i="5" s="1"/>
  <c r="W470" i="5"/>
  <c r="Y470" i="5" s="1"/>
  <c r="W379" i="5"/>
  <c r="X379" i="5" s="1"/>
  <c r="W118" i="5"/>
  <c r="K36" i="5"/>
  <c r="K37" i="5" s="1"/>
  <c r="Q47" i="5"/>
  <c r="Q25" i="5"/>
  <c r="Q50" i="5"/>
  <c r="Q54" i="5"/>
  <c r="Q68" i="5"/>
  <c r="Q73" i="5"/>
  <c r="Q86" i="5"/>
  <c r="Q44" i="5"/>
  <c r="Q108" i="5"/>
  <c r="Q137" i="5"/>
  <c r="Q100" i="5"/>
  <c r="Q157" i="5"/>
  <c r="Q124" i="5"/>
  <c r="Q150" i="5"/>
  <c r="Q174" i="5"/>
  <c r="Q175" i="5"/>
  <c r="Q178" i="5"/>
  <c r="Q199" i="5"/>
  <c r="Q107" i="5"/>
  <c r="Q221" i="5"/>
  <c r="Q195" i="5"/>
  <c r="Q226" i="5"/>
  <c r="Q203" i="5"/>
  <c r="Q284" i="5"/>
  <c r="Q323" i="5"/>
  <c r="Q229" i="5"/>
  <c r="Q285" i="5"/>
  <c r="Q310" i="5"/>
  <c r="Q220" i="5"/>
  <c r="Q274" i="5"/>
  <c r="Q297" i="5"/>
  <c r="Q341" i="5"/>
  <c r="Q289" i="5"/>
  <c r="Q372" i="5"/>
  <c r="Q407" i="5"/>
  <c r="Q439" i="5"/>
  <c r="Q308" i="5"/>
  <c r="Q363" i="5"/>
  <c r="Q402" i="5"/>
  <c r="Q327" i="5"/>
  <c r="Q377" i="5"/>
  <c r="Q412" i="5"/>
  <c r="Q387" i="5"/>
  <c r="Q462" i="5"/>
  <c r="Q485" i="5"/>
  <c r="Q523" i="5"/>
  <c r="Q369" i="5"/>
  <c r="Q446" i="5"/>
  <c r="Q486" i="5"/>
  <c r="Q510" i="5"/>
  <c r="Q444" i="5"/>
  <c r="Q494" i="5"/>
  <c r="Q535" i="5"/>
  <c r="Q553" i="5"/>
  <c r="Q498" i="5"/>
  <c r="Q550" i="5"/>
  <c r="Q558" i="5"/>
  <c r="Q544" i="5"/>
  <c r="Q516" i="5"/>
  <c r="Q49" i="5"/>
  <c r="Q29" i="5"/>
  <c r="Q52" i="5"/>
  <c r="Q55" i="5"/>
  <c r="Q69" i="5"/>
  <c r="Q71" i="5"/>
  <c r="Q95" i="5"/>
  <c r="Q82" i="5"/>
  <c r="Q116" i="5"/>
  <c r="Q142" i="5"/>
  <c r="Q114" i="5"/>
  <c r="Q159" i="5"/>
  <c r="Q126" i="5"/>
  <c r="Q155" i="5"/>
  <c r="Q188" i="5"/>
  <c r="Q179" i="5"/>
  <c r="Q182" i="5"/>
  <c r="Q201" i="5"/>
  <c r="Q177" i="5"/>
  <c r="Q225" i="5"/>
  <c r="Q204" i="5"/>
  <c r="Q231" i="5"/>
  <c r="Q213" i="5"/>
  <c r="Q291" i="5"/>
  <c r="Q325" i="5"/>
  <c r="Q247" i="5"/>
  <c r="Q290" i="5"/>
  <c r="Q321" i="5"/>
  <c r="Q223" i="5"/>
  <c r="Q275" i="5"/>
  <c r="Q309" i="5"/>
  <c r="Q346" i="5"/>
  <c r="Q295" i="5"/>
  <c r="Q375" i="5"/>
  <c r="Q409" i="5"/>
  <c r="Q441" i="5"/>
  <c r="Q314" i="5"/>
  <c r="Q365" i="5"/>
  <c r="Q404" i="5"/>
  <c r="Q338" i="5"/>
  <c r="Q394" i="5"/>
  <c r="Q415" i="5"/>
  <c r="Q390" i="5"/>
  <c r="Q463" i="5"/>
  <c r="Q500" i="5"/>
  <c r="Q524" i="5"/>
  <c r="Q410" i="5"/>
  <c r="Q452" i="5"/>
  <c r="Q487" i="5"/>
  <c r="Q514" i="5"/>
  <c r="Q445" i="5"/>
  <c r="Q497" i="5"/>
  <c r="Q536" i="5"/>
  <c r="Q559" i="5"/>
  <c r="Q508" i="5"/>
  <c r="Q364" i="5"/>
  <c r="Q560" i="5"/>
  <c r="Q556" i="5"/>
  <c r="Q531" i="5"/>
  <c r="Q21" i="5"/>
  <c r="Q20" i="5"/>
  <c r="Q30" i="5"/>
  <c r="Q27" i="5"/>
  <c r="Q58" i="5"/>
  <c r="Q65" i="5"/>
  <c r="Q75" i="5"/>
  <c r="Q85" i="5"/>
  <c r="Q94" i="5"/>
  <c r="Q117" i="5"/>
  <c r="Q151" i="5"/>
  <c r="Q125" i="5"/>
  <c r="Q83" i="5"/>
  <c r="Q127" i="5"/>
  <c r="Q156" i="5"/>
  <c r="Q130" i="5"/>
  <c r="Q180" i="5"/>
  <c r="Q202" i="5"/>
  <c r="Q235" i="5"/>
  <c r="Q186" i="5"/>
  <c r="Q228" i="5"/>
  <c r="Q205" i="5"/>
  <c r="Q234" i="5"/>
  <c r="Q227" i="5"/>
  <c r="Q292" i="5"/>
  <c r="Q331" i="5"/>
  <c r="Q253" i="5"/>
  <c r="Q293" i="5"/>
  <c r="Q326" i="5"/>
  <c r="Q239" i="5"/>
  <c r="Q277" i="5"/>
  <c r="Q315" i="5"/>
  <c r="Q348" i="5"/>
  <c r="Q306" i="5"/>
  <c r="Q380" i="5"/>
  <c r="Q411" i="5"/>
  <c r="Q442" i="5"/>
  <c r="Q340" i="5"/>
  <c r="Q373" i="5"/>
  <c r="Q413" i="5"/>
  <c r="Q347" i="5"/>
  <c r="Q395" i="5"/>
  <c r="Q421" i="5"/>
  <c r="Q393" i="5"/>
  <c r="Q468" i="5"/>
  <c r="Q501" i="5"/>
  <c r="Q527" i="5"/>
  <c r="Q420" i="5"/>
  <c r="Q457" i="5"/>
  <c r="Q489" i="5"/>
  <c r="Q520" i="5"/>
  <c r="Q449" i="5"/>
  <c r="Q502" i="5"/>
  <c r="Q537" i="5"/>
  <c r="Q268" i="5"/>
  <c r="Q515" i="5"/>
  <c r="Q430" i="5"/>
  <c r="Q557" i="5"/>
  <c r="Q403" i="5"/>
  <c r="Q539" i="5"/>
  <c r="Q26" i="5"/>
  <c r="Q22" i="5"/>
  <c r="Q33" i="5"/>
  <c r="Q51" i="5"/>
  <c r="Q60" i="5"/>
  <c r="Q70" i="5"/>
  <c r="Q77" i="5"/>
  <c r="Q87" i="5"/>
  <c r="Q103" i="5"/>
  <c r="Q119" i="5"/>
  <c r="Q153" i="5"/>
  <c r="Q138" i="5"/>
  <c r="Q102" i="5"/>
  <c r="Q129" i="5"/>
  <c r="Q92" i="5"/>
  <c r="Q145" i="5"/>
  <c r="Q183" i="5"/>
  <c r="Q207" i="5"/>
  <c r="Q236" i="5"/>
  <c r="Q189" i="5"/>
  <c r="Q230" i="5"/>
  <c r="Q206" i="5"/>
  <c r="Q237" i="5"/>
  <c r="Q246" i="5"/>
  <c r="Q299" i="5"/>
  <c r="Q333" i="5"/>
  <c r="Q255" i="5"/>
  <c r="Q298" i="5"/>
  <c r="Q330" i="5"/>
  <c r="Q243" i="5"/>
  <c r="Q278" i="5"/>
  <c r="Q317" i="5"/>
  <c r="Q350" i="5"/>
  <c r="Q332" i="5"/>
  <c r="Q385" i="5"/>
  <c r="Q418" i="5"/>
  <c r="Q245" i="5"/>
  <c r="Q343" i="5"/>
  <c r="Q379" i="5"/>
  <c r="Q414" i="5"/>
  <c r="Q351" i="5"/>
  <c r="Q397" i="5"/>
  <c r="Q318" i="5"/>
  <c r="Q433" i="5"/>
  <c r="Q471" i="5"/>
  <c r="Q503" i="5"/>
  <c r="Q252" i="5"/>
  <c r="Q422" i="5"/>
  <c r="Q467" i="5"/>
  <c r="Q490" i="5"/>
  <c r="Q197" i="5"/>
  <c r="Q450" i="5"/>
  <c r="Q509" i="5"/>
  <c r="Q541" i="5"/>
  <c r="Q447" i="5"/>
  <c r="Q532" i="5"/>
  <c r="Q443" i="5"/>
  <c r="Q459" i="5"/>
  <c r="Q427" i="5"/>
  <c r="Q540" i="5"/>
  <c r="Q31" i="5"/>
  <c r="Q23" i="5"/>
  <c r="Q35" i="5"/>
  <c r="Q59" i="5"/>
  <c r="Q63" i="5"/>
  <c r="Q74" i="5"/>
  <c r="Q79" i="5"/>
  <c r="Q90" i="5"/>
  <c r="Q106" i="5"/>
  <c r="Q123" i="5"/>
  <c r="Q154" i="5"/>
  <c r="Q140" i="5"/>
  <c r="Q105" i="5"/>
  <c r="Q134" i="5"/>
  <c r="Q115" i="5"/>
  <c r="Q161" i="5"/>
  <c r="Q185" i="5"/>
  <c r="Q181" i="5"/>
  <c r="Q238" i="5"/>
  <c r="Q191" i="5"/>
  <c r="Q233" i="5"/>
  <c r="Q209" i="5"/>
  <c r="Q242" i="5"/>
  <c r="Q258" i="5"/>
  <c r="Q302" i="5"/>
  <c r="Q196" i="5"/>
  <c r="Q259" i="5"/>
  <c r="Q300" i="5"/>
  <c r="Q141" i="5"/>
  <c r="Q260" i="5"/>
  <c r="Q283" i="5"/>
  <c r="Q319" i="5"/>
  <c r="Q357" i="5"/>
  <c r="Q334" i="5"/>
  <c r="Q386" i="5"/>
  <c r="Q423" i="5"/>
  <c r="Q249" i="5"/>
  <c r="Q349" i="5"/>
  <c r="Q382" i="5"/>
  <c r="Q417" i="5"/>
  <c r="Q358" i="5"/>
  <c r="Q398" i="5"/>
  <c r="Q359" i="5"/>
  <c r="Q453" i="5"/>
  <c r="Q473" i="5"/>
  <c r="Q511" i="5"/>
  <c r="Q301" i="5"/>
  <c r="Q425" i="5"/>
  <c r="Q469" i="5"/>
  <c r="Q492" i="5"/>
  <c r="Q342" i="5"/>
  <c r="Q465" i="5"/>
  <c r="Q518" i="5"/>
  <c r="Q542" i="5"/>
  <c r="Q451" i="5"/>
  <c r="Q547" i="5"/>
  <c r="Q460" i="5"/>
  <c r="Q466" i="5"/>
  <c r="Q429" i="5"/>
  <c r="Q19" i="5"/>
  <c r="Q42" i="5"/>
  <c r="Q36" i="5"/>
  <c r="Q41" i="5"/>
  <c r="Q67" i="5"/>
  <c r="Q57" i="5"/>
  <c r="Q81" i="5"/>
  <c r="Q91" i="5"/>
  <c r="Q110" i="5"/>
  <c r="Q89" i="5"/>
  <c r="Q133" i="5"/>
  <c r="Q53" i="5"/>
  <c r="Q146" i="5"/>
  <c r="Q118" i="5"/>
  <c r="Q147" i="5"/>
  <c r="Q163" i="5"/>
  <c r="Q166" i="5"/>
  <c r="Q164" i="5"/>
  <c r="Q193" i="5"/>
  <c r="Q250" i="5"/>
  <c r="Q210" i="5"/>
  <c r="Q165" i="5"/>
  <c r="Q217" i="5"/>
  <c r="Q101" i="5"/>
  <c r="Q269" i="5"/>
  <c r="Q313" i="5"/>
  <c r="Q215" i="5"/>
  <c r="Q271" i="5"/>
  <c r="Q305" i="5"/>
  <c r="Q173" i="5"/>
  <c r="Q265" i="5"/>
  <c r="Q287" i="5"/>
  <c r="Q329" i="5"/>
  <c r="Q257" i="5"/>
  <c r="Q356" i="5"/>
  <c r="Q391" i="5"/>
  <c r="Q431" i="5"/>
  <c r="Q279" i="5"/>
  <c r="Q354" i="5"/>
  <c r="Q388" i="5"/>
  <c r="Q263" i="5"/>
  <c r="Q370" i="5"/>
  <c r="Q405" i="5"/>
  <c r="Q378" i="5"/>
  <c r="Q455" i="5"/>
  <c r="Q475" i="5"/>
  <c r="Q519" i="5"/>
  <c r="Q337" i="5"/>
  <c r="Q435" i="5"/>
  <c r="Q477" i="5"/>
  <c r="Q495" i="5"/>
  <c r="Q426" i="5"/>
  <c r="Q479" i="5"/>
  <c r="Q529" i="5"/>
  <c r="Q545" i="5"/>
  <c r="Q481" i="5"/>
  <c r="Q552" i="5"/>
  <c r="Q522" i="5"/>
  <c r="Q525" i="5"/>
  <c r="Q499" i="5"/>
  <c r="O11" i="5"/>
  <c r="Q45" i="5"/>
  <c r="Q43" i="5"/>
  <c r="Q46" i="5"/>
  <c r="Q38" i="5"/>
  <c r="Q61" i="5"/>
  <c r="Q28" i="5"/>
  <c r="Q76" i="5"/>
  <c r="Q111" i="5"/>
  <c r="Q99" i="5"/>
  <c r="Q135" i="5"/>
  <c r="Q98" i="5"/>
  <c r="Q149" i="5"/>
  <c r="Q121" i="5"/>
  <c r="Q148" i="5"/>
  <c r="Q169" i="5"/>
  <c r="Q172" i="5"/>
  <c r="Q170" i="5"/>
  <c r="Q198" i="5"/>
  <c r="Q251" i="5"/>
  <c r="Q219" i="5"/>
  <c r="Q171" i="5"/>
  <c r="Q222" i="5"/>
  <c r="Q187" i="5"/>
  <c r="Q276" i="5"/>
  <c r="Q316" i="5"/>
  <c r="Q218" i="5"/>
  <c r="Q281" i="5"/>
  <c r="Q307" i="5"/>
  <c r="Q211" i="5"/>
  <c r="Q267" i="5"/>
  <c r="Q294" i="5"/>
  <c r="Q339" i="5"/>
  <c r="Q273" i="5"/>
  <c r="Q371" i="5"/>
  <c r="Q396" i="5"/>
  <c r="Q438" i="5"/>
  <c r="Q282" i="5"/>
  <c r="Q361" i="5"/>
  <c r="Q399" i="5"/>
  <c r="Q322" i="5"/>
  <c r="Q374" i="5"/>
  <c r="Q406" i="5"/>
  <c r="Q381" i="5"/>
  <c r="Q461" i="5"/>
  <c r="Q483" i="5"/>
  <c r="Q521" i="5"/>
  <c r="Q345" i="5"/>
  <c r="Q436" i="5"/>
  <c r="Q482" i="5"/>
  <c r="Q506" i="5"/>
  <c r="Q437" i="5"/>
  <c r="Q484" i="5"/>
  <c r="Q530" i="5"/>
  <c r="Q548" i="5"/>
  <c r="Q491" i="5"/>
  <c r="Q555" i="5"/>
  <c r="Q549" i="5"/>
  <c r="Q533" i="5"/>
  <c r="Q505" i="5"/>
  <c r="Q93" i="5"/>
  <c r="Q162" i="5"/>
  <c r="Q266" i="5"/>
  <c r="Q324" i="5"/>
  <c r="Q419" i="5"/>
  <c r="Q434" i="5"/>
  <c r="Q551" i="5"/>
  <c r="Q39" i="5"/>
  <c r="Q109" i="5"/>
  <c r="Q132" i="5"/>
  <c r="Q311" i="5"/>
  <c r="Q254" i="5"/>
  <c r="Q367" i="5"/>
  <c r="Q470" i="5"/>
  <c r="Q507" i="5"/>
  <c r="Q34" i="5"/>
  <c r="Q131" i="5"/>
  <c r="Q190" i="5"/>
  <c r="Q212" i="5"/>
  <c r="Q355" i="5"/>
  <c r="Q401" i="5"/>
  <c r="Q493" i="5"/>
  <c r="Q513" i="5"/>
  <c r="Q37" i="5"/>
  <c r="Q158" i="5"/>
  <c r="Q241" i="5"/>
  <c r="Q261" i="5"/>
  <c r="Q389" i="5"/>
  <c r="Q366" i="5"/>
  <c r="Q362" i="5"/>
  <c r="Q458" i="5"/>
  <c r="Q78" i="5"/>
  <c r="Q139" i="5"/>
  <c r="Q214" i="5"/>
  <c r="Q262" i="5"/>
  <c r="Q353" i="5"/>
  <c r="Q517" i="5"/>
  <c r="Q543" i="5"/>
  <c r="Q84" i="5"/>
  <c r="Q122" i="5"/>
  <c r="Q244" i="5"/>
  <c r="Q286" i="5"/>
  <c r="Q383" i="5"/>
  <c r="Q335" i="5"/>
  <c r="Q478" i="5"/>
  <c r="Q167" i="5"/>
  <c r="Q62" i="5"/>
  <c r="Q428" i="5"/>
  <c r="Q66" i="5"/>
  <c r="Q270" i="5"/>
  <c r="Q474" i="5"/>
  <c r="Q143" i="5"/>
  <c r="Q454" i="5"/>
  <c r="Q113" i="5"/>
  <c r="Q97" i="5"/>
  <c r="Q528" i="5"/>
  <c r="Q303" i="5"/>
  <c r="Q194" i="5"/>
  <c r="Q476" i="5"/>
  <c r="B37" i="5"/>
  <c r="AI152" i="5"/>
  <c r="AO465" i="5"/>
  <c r="AI248" i="5"/>
  <c r="AH200" i="5"/>
  <c r="AH519" i="5"/>
  <c r="AN272" i="5"/>
  <c r="AO272" i="5"/>
  <c r="U64" i="5"/>
  <c r="V64" i="5"/>
  <c r="AM193" i="5"/>
  <c r="AI19" i="5"/>
  <c r="AH19" i="5"/>
  <c r="AS64" i="4"/>
  <c r="U54" i="4"/>
  <c r="AS54" i="4"/>
  <c r="V54" i="4"/>
  <c r="AS102" i="4"/>
  <c r="V27" i="4"/>
  <c r="AS27" i="4"/>
  <c r="U27" i="4"/>
  <c r="AS108" i="4"/>
  <c r="U108" i="4"/>
  <c r="V108" i="4"/>
  <c r="AM59" i="5"/>
  <c r="T554" i="5"/>
  <c r="T546" i="5"/>
  <c r="T432" i="5"/>
  <c r="T448" i="5"/>
  <c r="T408" i="5"/>
  <c r="T280" i="5"/>
  <c r="T296" i="5"/>
  <c r="AI136" i="5"/>
  <c r="AM104" i="5"/>
  <c r="AI361" i="5"/>
  <c r="AH361" i="5"/>
  <c r="AO179" i="5"/>
  <c r="AN179" i="5"/>
  <c r="AO521" i="5"/>
  <c r="AN276" i="5"/>
  <c r="AM379" i="5"/>
  <c r="AM307" i="5"/>
  <c r="AM91" i="5"/>
  <c r="AM292" i="5"/>
  <c r="AM20" i="5"/>
  <c r="T38" i="5"/>
  <c r="T34" i="5"/>
  <c r="T70" i="5"/>
  <c r="T55" i="5"/>
  <c r="T89" i="5"/>
  <c r="T105" i="5"/>
  <c r="T87" i="5"/>
  <c r="T84" i="5"/>
  <c r="T43" i="5"/>
  <c r="T33" i="5"/>
  <c r="T66" i="5"/>
  <c r="T25" i="5"/>
  <c r="T83" i="5"/>
  <c r="T121" i="5"/>
  <c r="T26" i="5"/>
  <c r="T47" i="5"/>
  <c r="T27" i="5"/>
  <c r="T41" i="5"/>
  <c r="T94" i="5"/>
  <c r="T117" i="5"/>
  <c r="T52" i="5"/>
  <c r="T59" i="5"/>
  <c r="T74" i="5"/>
  <c r="T98" i="5"/>
  <c r="T91" i="5"/>
  <c r="T139" i="5"/>
  <c r="T39" i="5"/>
  <c r="T35" i="5"/>
  <c r="T95" i="5"/>
  <c r="T155" i="5"/>
  <c r="T151" i="5"/>
  <c r="T187" i="5"/>
  <c r="T154" i="5"/>
  <c r="T201" i="5"/>
  <c r="T211" i="5"/>
  <c r="T159" i="5"/>
  <c r="T243" i="5"/>
  <c r="T225" i="5"/>
  <c r="T249" i="5"/>
  <c r="T274" i="5"/>
  <c r="T318" i="5"/>
  <c r="T250" i="5"/>
  <c r="T292" i="5"/>
  <c r="T259" i="5"/>
  <c r="T290" i="5"/>
  <c r="T310" i="5"/>
  <c r="T354" i="5"/>
  <c r="T362" i="5"/>
  <c r="T393" i="5"/>
  <c r="T317" i="5"/>
  <c r="T385" i="5"/>
  <c r="T162" i="5"/>
  <c r="T340" i="5"/>
  <c r="T379" i="5"/>
  <c r="T451" i="5"/>
  <c r="T494" i="5"/>
  <c r="T525" i="5"/>
  <c r="T431" i="5"/>
  <c r="T517" i="5"/>
  <c r="T374" i="5"/>
  <c r="T425" i="5"/>
  <c r="T461" i="5"/>
  <c r="T487" i="5"/>
  <c r="T531" i="5"/>
  <c r="T346" i="5"/>
  <c r="T22" i="5"/>
  <c r="T63" i="5"/>
  <c r="T107" i="5"/>
  <c r="T106" i="5"/>
  <c r="T156" i="5"/>
  <c r="T125" i="5"/>
  <c r="T118" i="5"/>
  <c r="T161" i="5"/>
  <c r="T204" i="5"/>
  <c r="T215" i="5"/>
  <c r="T166" i="5"/>
  <c r="T174" i="5"/>
  <c r="T230" i="5"/>
  <c r="T252" i="5"/>
  <c r="T279" i="5"/>
  <c r="T322" i="5"/>
  <c r="T251" i="5"/>
  <c r="T299" i="5"/>
  <c r="T331" i="5"/>
  <c r="T261" i="5"/>
  <c r="T293" i="5"/>
  <c r="T356" i="5"/>
  <c r="T315" i="5"/>
  <c r="T364" i="5"/>
  <c r="T429" i="5"/>
  <c r="T341" i="5"/>
  <c r="T386" i="5"/>
  <c r="T195" i="5"/>
  <c r="T348" i="5"/>
  <c r="T382" i="5"/>
  <c r="T411" i="5"/>
  <c r="T428" i="5"/>
  <c r="T458" i="5"/>
  <c r="T499" i="5"/>
  <c r="T532" i="5"/>
  <c r="T438" i="5"/>
  <c r="T468" i="5"/>
  <c r="T498" i="5"/>
  <c r="T519" i="5"/>
  <c r="T377" i="5"/>
  <c r="T434" i="5"/>
  <c r="T463" i="5"/>
  <c r="T489" i="5"/>
  <c r="T540" i="5"/>
  <c r="T544" i="5"/>
  <c r="T514" i="5"/>
  <c r="T555" i="5"/>
  <c r="T549" i="5"/>
  <c r="T479" i="5"/>
  <c r="T36" i="5"/>
  <c r="T76" i="5"/>
  <c r="T85" i="5"/>
  <c r="T109" i="5"/>
  <c r="T114" i="5"/>
  <c r="T134" i="5"/>
  <c r="T133" i="5"/>
  <c r="T172" i="5"/>
  <c r="T206" i="5"/>
  <c r="T223" i="5"/>
  <c r="T199" i="5"/>
  <c r="T180" i="5"/>
  <c r="T233" i="5"/>
  <c r="T254" i="5"/>
  <c r="T282" i="5"/>
  <c r="T327" i="5"/>
  <c r="T258" i="5"/>
  <c r="T302" i="5"/>
  <c r="T321" i="5"/>
  <c r="T262" i="5"/>
  <c r="T329" i="5"/>
  <c r="T366" i="5"/>
  <c r="T403" i="5"/>
  <c r="T433" i="5"/>
  <c r="T369" i="5"/>
  <c r="T389" i="5"/>
  <c r="T228" i="5"/>
  <c r="T353" i="5"/>
  <c r="T383" i="5"/>
  <c r="T414" i="5"/>
  <c r="T430" i="5"/>
  <c r="T460" i="5"/>
  <c r="T505" i="5"/>
  <c r="T533" i="5"/>
  <c r="T442" i="5"/>
  <c r="T471" i="5"/>
  <c r="O10" i="5"/>
  <c r="AJ10" i="5" s="1"/>
  <c r="T53" i="5"/>
  <c r="T57" i="5"/>
  <c r="T101" i="5"/>
  <c r="T115" i="5"/>
  <c r="T149" i="5"/>
  <c r="T140" i="5"/>
  <c r="T183" i="5"/>
  <c r="T188" i="5"/>
  <c r="T212" i="5"/>
  <c r="T191" i="5"/>
  <c r="T235" i="5"/>
  <c r="T260" i="5"/>
  <c r="T289" i="5"/>
  <c r="T332" i="5"/>
  <c r="T266" i="5"/>
  <c r="T311" i="5"/>
  <c r="T226" i="5"/>
  <c r="T268" i="5"/>
  <c r="T298" i="5"/>
  <c r="T326" i="5"/>
  <c r="T267" i="5"/>
  <c r="T337" i="5"/>
  <c r="T367" i="5"/>
  <c r="T405" i="5"/>
  <c r="T436" i="5"/>
  <c r="T371" i="5"/>
  <c r="T391" i="5"/>
  <c r="T355" i="5"/>
  <c r="T388" i="5"/>
  <c r="T417" i="5"/>
  <c r="T466" i="5"/>
  <c r="T507" i="5"/>
  <c r="T537" i="5"/>
  <c r="T453" i="5"/>
  <c r="T474" i="5"/>
  <c r="T501" i="5"/>
  <c r="T522" i="5"/>
  <c r="T398" i="5"/>
  <c r="T439" i="5"/>
  <c r="T470" i="5"/>
  <c r="T493" i="5"/>
  <c r="T557" i="5"/>
  <c r="T465" i="5"/>
  <c r="T545" i="5"/>
  <c r="T406" i="5"/>
  <c r="T524" i="5"/>
  <c r="T559" i="5"/>
  <c r="T502" i="5"/>
  <c r="T61" i="5"/>
  <c r="T37" i="5"/>
  <c r="T123" i="5"/>
  <c r="T119" i="5"/>
  <c r="T171" i="5"/>
  <c r="T169" i="5"/>
  <c r="T185" i="5"/>
  <c r="T196" i="5"/>
  <c r="T227" i="5"/>
  <c r="T222" i="5"/>
  <c r="T236" i="5"/>
  <c r="T263" i="5"/>
  <c r="T295" i="5"/>
  <c r="T334" i="5"/>
  <c r="T276" i="5"/>
  <c r="T313" i="5"/>
  <c r="T231" i="5"/>
  <c r="T269" i="5"/>
  <c r="T300" i="5"/>
  <c r="T330" i="5"/>
  <c r="T342" i="5"/>
  <c r="T378" i="5"/>
  <c r="T410" i="5"/>
  <c r="T437" i="5"/>
  <c r="T372" i="5"/>
  <c r="T396" i="5"/>
  <c r="T275" i="5"/>
  <c r="T361" i="5"/>
  <c r="T287" i="5"/>
  <c r="T441" i="5"/>
  <c r="T508" i="5"/>
  <c r="T339" i="5"/>
  <c r="T454" i="5"/>
  <c r="T475" i="5"/>
  <c r="T503" i="5"/>
  <c r="T333" i="5"/>
  <c r="T401" i="5"/>
  <c r="T446" i="5"/>
  <c r="T473" i="5"/>
  <c r="T495" i="5"/>
  <c r="T560" i="5"/>
  <c r="T484" i="5"/>
  <c r="T412" i="5"/>
  <c r="T527" i="5"/>
  <c r="T449" i="5"/>
  <c r="T397" i="5"/>
  <c r="T509" i="5"/>
  <c r="T30" i="5"/>
  <c r="T92" i="5"/>
  <c r="T93" i="5"/>
  <c r="T131" i="5"/>
  <c r="T130" i="5"/>
  <c r="T173" i="5"/>
  <c r="T170" i="5"/>
  <c r="T186" i="5"/>
  <c r="T203" i="5"/>
  <c r="T239" i="5"/>
  <c r="T229" i="5"/>
  <c r="T207" i="5"/>
  <c r="T265" i="5"/>
  <c r="T301" i="5"/>
  <c r="T135" i="5"/>
  <c r="T284" i="5"/>
  <c r="T316" i="5"/>
  <c r="T246" i="5"/>
  <c r="T271" i="5"/>
  <c r="T303" i="5"/>
  <c r="T335" i="5"/>
  <c r="T283" i="5"/>
  <c r="T345" i="5"/>
  <c r="T381" i="5"/>
  <c r="T415" i="5"/>
  <c r="T214" i="5"/>
  <c r="T375" i="5"/>
  <c r="T407" i="5"/>
  <c r="T294" i="5"/>
  <c r="T363" i="5"/>
  <c r="T399" i="5"/>
  <c r="T324" i="5"/>
  <c r="T443" i="5"/>
  <c r="T478" i="5"/>
  <c r="T513" i="5"/>
  <c r="T347" i="5"/>
  <c r="T358" i="5"/>
  <c r="T413" i="5"/>
  <c r="T452" i="5"/>
  <c r="T477" i="5"/>
  <c r="T506" i="5"/>
  <c r="T529" i="5"/>
  <c r="T548" i="5"/>
  <c r="T426" i="5"/>
  <c r="T543" i="5"/>
  <c r="T528" i="5"/>
  <c r="T423" i="5"/>
  <c r="T520" i="5"/>
  <c r="T28" i="5"/>
  <c r="T50" i="5"/>
  <c r="T82" i="5"/>
  <c r="T126" i="5"/>
  <c r="T137" i="5"/>
  <c r="T138" i="5"/>
  <c r="T177" i="5"/>
  <c r="T79" i="5"/>
  <c r="T190" i="5"/>
  <c r="T205" i="5"/>
  <c r="T245" i="5"/>
  <c r="T210" i="5"/>
  <c r="T241" i="5"/>
  <c r="T270" i="5"/>
  <c r="T306" i="5"/>
  <c r="T237" i="5"/>
  <c r="T323" i="5"/>
  <c r="T253" i="5"/>
  <c r="T281" i="5"/>
  <c r="T305" i="5"/>
  <c r="T343" i="5"/>
  <c r="T286" i="5"/>
  <c r="T350" i="5"/>
  <c r="T387" i="5"/>
  <c r="T420" i="5"/>
  <c r="T247" i="5"/>
  <c r="T409" i="5"/>
  <c r="T319" i="5"/>
  <c r="T365" i="5"/>
  <c r="T402" i="5"/>
  <c r="T357" i="5"/>
  <c r="T447" i="5"/>
  <c r="T481" i="5"/>
  <c r="T515" i="5"/>
  <c r="T351" i="5"/>
  <c r="T459" i="5"/>
  <c r="T483" i="5"/>
  <c r="T511" i="5"/>
  <c r="T455" i="5"/>
  <c r="T482" i="5"/>
  <c r="T510" i="5"/>
  <c r="T338" i="5"/>
  <c r="T550" i="5"/>
  <c r="T450" i="5"/>
  <c r="T551" i="5"/>
  <c r="T530" i="5"/>
  <c r="T445" i="5"/>
  <c r="T523" i="5"/>
  <c r="T44" i="5"/>
  <c r="T194" i="5"/>
  <c r="T244" i="5"/>
  <c r="T359" i="5"/>
  <c r="T404" i="5"/>
  <c r="T500" i="5"/>
  <c r="T467" i="5"/>
  <c r="T539" i="5"/>
  <c r="T552" i="5"/>
  <c r="T67" i="5"/>
  <c r="T291" i="5"/>
  <c r="T390" i="5"/>
  <c r="T370" i="5"/>
  <c r="T486" i="5"/>
  <c r="T542" i="5"/>
  <c r="T553" i="5"/>
  <c r="T19" i="5"/>
  <c r="T69" i="5"/>
  <c r="T150" i="5"/>
  <c r="T325" i="5"/>
  <c r="T421" i="5"/>
  <c r="T521" i="5"/>
  <c r="T492" i="5"/>
  <c r="T419" i="5"/>
  <c r="T141" i="5"/>
  <c r="T242" i="5"/>
  <c r="T297" i="5"/>
  <c r="T491" i="5"/>
  <c r="T541" i="5"/>
  <c r="T535" i="5"/>
  <c r="T142" i="5"/>
  <c r="T221" i="5"/>
  <c r="T285" i="5"/>
  <c r="T380" i="5"/>
  <c r="T516" i="5"/>
  <c r="T395" i="5"/>
  <c r="T556" i="5"/>
  <c r="T394" i="5"/>
  <c r="T547" i="5"/>
  <c r="T146" i="5"/>
  <c r="T307" i="5"/>
  <c r="T418" i="5"/>
  <c r="T427" i="5"/>
  <c r="T422" i="5"/>
  <c r="T490" i="5"/>
  <c r="T558" i="5"/>
  <c r="T181" i="5"/>
  <c r="T273" i="5"/>
  <c r="T349" i="5"/>
  <c r="T462" i="5"/>
  <c r="T435" i="5"/>
  <c r="T444" i="5"/>
  <c r="T497" i="5"/>
  <c r="T469" i="5"/>
  <c r="T457" i="5"/>
  <c r="T536" i="5"/>
  <c r="T518" i="5"/>
  <c r="T100" i="5"/>
  <c r="T476" i="5"/>
  <c r="T314" i="5"/>
  <c r="T309" i="5"/>
  <c r="T373" i="5"/>
  <c r="T485" i="5"/>
  <c r="AM35" i="5"/>
  <c r="V40" i="4"/>
  <c r="AS40" i="4"/>
  <c r="U8" i="4"/>
  <c r="V8" i="4"/>
  <c r="AS8" i="4"/>
  <c r="V44" i="4"/>
  <c r="AS44" i="4"/>
  <c r="U44" i="4"/>
  <c r="AM99" i="5"/>
  <c r="U40" i="4"/>
  <c r="AH554" i="5"/>
  <c r="AI554" i="5"/>
  <c r="AM448" i="5"/>
  <c r="T464" i="5"/>
  <c r="T480" i="5"/>
  <c r="T328" i="5"/>
  <c r="T344" i="5"/>
  <c r="T376" i="5"/>
  <c r="T392" i="5"/>
  <c r="AI408" i="5"/>
  <c r="AH408" i="5"/>
  <c r="T248" i="5"/>
  <c r="T264" i="5"/>
  <c r="AM280" i="5"/>
  <c r="AI120" i="5"/>
  <c r="AH120" i="5"/>
  <c r="T160" i="5"/>
  <c r="T24" i="5"/>
  <c r="U176" i="5"/>
  <c r="V176" i="5"/>
  <c r="AH40" i="5"/>
  <c r="AH546" i="5"/>
  <c r="AN129" i="5"/>
  <c r="AM387" i="5"/>
  <c r="AM123" i="5"/>
  <c r="AM107" i="5"/>
  <c r="AM300" i="5"/>
  <c r="AI28" i="5"/>
  <c r="AH28" i="5"/>
  <c r="AM177" i="5"/>
  <c r="AM57" i="5"/>
  <c r="AS66" i="4"/>
  <c r="AS23" i="4"/>
  <c r="U23" i="4"/>
  <c r="V23" i="4"/>
  <c r="AM464" i="5"/>
  <c r="AM480" i="5"/>
  <c r="T496" i="5"/>
  <c r="T512" i="5"/>
  <c r="T360" i="5"/>
  <c r="AH376" i="5"/>
  <c r="AM408" i="5"/>
  <c r="T224" i="5"/>
  <c r="AM248" i="5"/>
  <c r="AM120" i="5"/>
  <c r="AM184" i="5"/>
  <c r="T208" i="5"/>
  <c r="T88" i="5"/>
  <c r="AS93" i="4"/>
  <c r="V93" i="4"/>
  <c r="U93" i="4"/>
  <c r="AJ451" i="5"/>
  <c r="AL451" i="5" s="1"/>
  <c r="AJ465" i="5"/>
  <c r="AK465" i="5" s="1"/>
  <c r="AS91" i="4"/>
  <c r="AI547" i="5"/>
  <c r="AH547" i="5"/>
  <c r="AM308" i="5"/>
  <c r="AH36" i="5"/>
  <c r="AI36" i="5"/>
  <c r="AM121" i="5"/>
  <c r="U137" i="4"/>
  <c r="V137" i="4"/>
  <c r="AS127" i="4"/>
  <c r="AS45" i="4"/>
  <c r="V45" i="4"/>
  <c r="AS22" i="4"/>
  <c r="T526" i="5"/>
  <c r="AM424" i="5"/>
  <c r="T440" i="5"/>
  <c r="AI480" i="5"/>
  <c r="AH480" i="5"/>
  <c r="AM344" i="5"/>
  <c r="AM376" i="5"/>
  <c r="T304" i="5"/>
  <c r="AM144" i="5"/>
  <c r="T32" i="5"/>
  <c r="T112" i="5"/>
  <c r="AS128" i="4"/>
  <c r="AH513" i="5"/>
  <c r="AN139" i="5"/>
  <c r="AI319" i="5"/>
  <c r="AH319" i="5"/>
  <c r="AH44" i="5"/>
  <c r="AI44" i="5"/>
  <c r="AN89" i="5"/>
  <c r="U135" i="4"/>
  <c r="V71" i="4"/>
  <c r="AI538" i="5"/>
  <c r="AH538" i="5"/>
  <c r="T424" i="5"/>
  <c r="AI440" i="5"/>
  <c r="AH440" i="5"/>
  <c r="T456" i="5"/>
  <c r="T336" i="5"/>
  <c r="T400" i="5"/>
  <c r="T272" i="5"/>
  <c r="AH288" i="5"/>
  <c r="AI288" i="5"/>
  <c r="AM208" i="5"/>
  <c r="T56" i="5"/>
  <c r="AN39" i="5"/>
  <c r="AM535" i="5"/>
  <c r="AM337" i="5"/>
  <c r="AM257" i="5"/>
  <c r="AM153" i="5"/>
  <c r="AM227" i="5"/>
  <c r="AM203" i="5"/>
  <c r="AM236" i="5"/>
  <c r="AM148" i="5"/>
  <c r="AM60" i="5"/>
  <c r="AH375" i="5"/>
  <c r="AI375" i="5"/>
  <c r="U47" i="4"/>
  <c r="AS86" i="4"/>
  <c r="V19" i="4"/>
  <c r="AS19" i="4"/>
  <c r="U19" i="4"/>
  <c r="AS148" i="4"/>
  <c r="U126" i="4"/>
  <c r="T538" i="5"/>
  <c r="AI424" i="5"/>
  <c r="AH424" i="5"/>
  <c r="AM440" i="5"/>
  <c r="T472" i="5"/>
  <c r="T504" i="5"/>
  <c r="AH320" i="5"/>
  <c r="AI320" i="5"/>
  <c r="AM336" i="5"/>
  <c r="T352" i="5"/>
  <c r="T368" i="5"/>
  <c r="AI400" i="5"/>
  <c r="AH400" i="5"/>
  <c r="T416" i="5"/>
  <c r="T232" i="5"/>
  <c r="T288" i="5"/>
  <c r="T192" i="5"/>
  <c r="T80" i="5"/>
  <c r="S96" i="5"/>
  <c r="R96" i="5"/>
  <c r="AN260" i="5"/>
  <c r="AO260" i="5"/>
  <c r="AN156" i="5"/>
  <c r="AS103" i="4"/>
  <c r="U103" i="4"/>
  <c r="V103" i="4"/>
  <c r="AS69" i="4"/>
  <c r="V69" i="4"/>
  <c r="AM36" i="5"/>
  <c r="AM67" i="5"/>
  <c r="AM75" i="5"/>
  <c r="AM74" i="5"/>
  <c r="AM100" i="5"/>
  <c r="AM124" i="5"/>
  <c r="AM166" i="5"/>
  <c r="AM201" i="5"/>
  <c r="AM196" i="5"/>
  <c r="AM215" i="5"/>
  <c r="AM291" i="5"/>
  <c r="AM317" i="5"/>
  <c r="AM295" i="5"/>
  <c r="AM357" i="5"/>
  <c r="AM411" i="5"/>
  <c r="AM22" i="5"/>
  <c r="AM21" i="5"/>
  <c r="AM102" i="5"/>
  <c r="AM117" i="5"/>
  <c r="AM170" i="5"/>
  <c r="AM165" i="5"/>
  <c r="AM214" i="5"/>
  <c r="AM237" i="5"/>
  <c r="AM303" i="5"/>
  <c r="AM321" i="5"/>
  <c r="AM309" i="5"/>
  <c r="AM218" i="5"/>
  <c r="AM414" i="5"/>
  <c r="AM375" i="5"/>
  <c r="AM461" i="5"/>
  <c r="AM381" i="5"/>
  <c r="AM545" i="5"/>
  <c r="AM553" i="5"/>
  <c r="AM541" i="5"/>
  <c r="AM37" i="5"/>
  <c r="AM52" i="5"/>
  <c r="AM76" i="5"/>
  <c r="AM86" i="5"/>
  <c r="AM101" i="5"/>
  <c r="AM180" i="5"/>
  <c r="AM190" i="5"/>
  <c r="AM217" i="5"/>
  <c r="AM191" i="5"/>
  <c r="AM323" i="5"/>
  <c r="AM188" i="5"/>
  <c r="AM310" i="5"/>
  <c r="AM316" i="5"/>
  <c r="AM428" i="5"/>
  <c r="AM377" i="5"/>
  <c r="AM333" i="5"/>
  <c r="AM515" i="5"/>
  <c r="AM468" i="5"/>
  <c r="AM405" i="5"/>
  <c r="AM489" i="5"/>
  <c r="AM229" i="5"/>
  <c r="AM558" i="5"/>
  <c r="AM542" i="5"/>
  <c r="AM30" i="5"/>
  <c r="AM63" i="5"/>
  <c r="AM77" i="5"/>
  <c r="AM94" i="5"/>
  <c r="AM126" i="5"/>
  <c r="AM134" i="5"/>
  <c r="AM213" i="5"/>
  <c r="AM226" i="5"/>
  <c r="AM327" i="5"/>
  <c r="AM241" i="5"/>
  <c r="AM315" i="5"/>
  <c r="AM319" i="5"/>
  <c r="AM386" i="5"/>
  <c r="AM531" i="5"/>
  <c r="AM470" i="5"/>
  <c r="AM441" i="5"/>
  <c r="AM494" i="5"/>
  <c r="AM297" i="5"/>
  <c r="AM559" i="5"/>
  <c r="AM44" i="5"/>
  <c r="AM55" i="5"/>
  <c r="AM84" i="5"/>
  <c r="AM138" i="5"/>
  <c r="AM143" i="5"/>
  <c r="AM242" i="5"/>
  <c r="AM246" i="5"/>
  <c r="AM247" i="5"/>
  <c r="AM329" i="5"/>
  <c r="AM250" i="5"/>
  <c r="AM399" i="5"/>
  <c r="AM342" i="5"/>
  <c r="AM401" i="5"/>
  <c r="AM382" i="5"/>
  <c r="AM443" i="5"/>
  <c r="AM502" i="5"/>
  <c r="AM425" i="5"/>
  <c r="AM524" i="5"/>
  <c r="AM46" i="5"/>
  <c r="AM54" i="5"/>
  <c r="AM146" i="5"/>
  <c r="AM158" i="5"/>
  <c r="AM230" i="5"/>
  <c r="AM244" i="5"/>
  <c r="AM266" i="5"/>
  <c r="AM269" i="5"/>
  <c r="AM255" i="5"/>
  <c r="AM330" i="5"/>
  <c r="AM373" i="5"/>
  <c r="AM277" i="5"/>
  <c r="AM402" i="5"/>
  <c r="AM364" i="5"/>
  <c r="AM452" i="5"/>
  <c r="AM391" i="5"/>
  <c r="AM507" i="5"/>
  <c r="AM453" i="5"/>
  <c r="AM503" i="5"/>
  <c r="AM513" i="5"/>
  <c r="AM544" i="5"/>
  <c r="AM483" i="5"/>
  <c r="AM90" i="5"/>
  <c r="AM154" i="5"/>
  <c r="AM181" i="5"/>
  <c r="AM183" i="5"/>
  <c r="AM271" i="5"/>
  <c r="AM268" i="5"/>
  <c r="AM339" i="5"/>
  <c r="AM345" i="5"/>
  <c r="AM417" i="5"/>
  <c r="AM366" i="5"/>
  <c r="AM460" i="5"/>
  <c r="AM403" i="5"/>
  <c r="AM511" i="5"/>
  <c r="AM466" i="5"/>
  <c r="AM509" i="5"/>
  <c r="AM517" i="5"/>
  <c r="AM407" i="5"/>
  <c r="AM19" i="5"/>
  <c r="AM151" i="5"/>
  <c r="AM275" i="5"/>
  <c r="AM398" i="5"/>
  <c r="AM479" i="5"/>
  <c r="AM119" i="5"/>
  <c r="AM351" i="5"/>
  <c r="AM471" i="5"/>
  <c r="AM522" i="5"/>
  <c r="AM150" i="5"/>
  <c r="AM393" i="5"/>
  <c r="AM478" i="5"/>
  <c r="AM523" i="5"/>
  <c r="AM187" i="5"/>
  <c r="AM350" i="5"/>
  <c r="AM429" i="5"/>
  <c r="AM529" i="5"/>
  <c r="AM34" i="5"/>
  <c r="AM182" i="5"/>
  <c r="AM361" i="5"/>
  <c r="AM439" i="5"/>
  <c r="AM548" i="5"/>
  <c r="AM202" i="5"/>
  <c r="AM245" i="5"/>
  <c r="AM516" i="5"/>
  <c r="AM78" i="5"/>
  <c r="AM279" i="5"/>
  <c r="AM254" i="5"/>
  <c r="AM353" i="5"/>
  <c r="AM501" i="5"/>
  <c r="AM95" i="5"/>
  <c r="AM290" i="5"/>
  <c r="AM378" i="5"/>
  <c r="AM469" i="5"/>
  <c r="AS134" i="4"/>
  <c r="AM456" i="5"/>
  <c r="T488" i="5"/>
  <c r="AI504" i="5"/>
  <c r="T320" i="5"/>
  <c r="AM368" i="5"/>
  <c r="T384" i="5"/>
  <c r="AM400" i="5"/>
  <c r="AI416" i="5"/>
  <c r="AH416" i="5"/>
  <c r="T256" i="5"/>
  <c r="AM288" i="5"/>
  <c r="T312" i="5"/>
  <c r="T152" i="5"/>
  <c r="AM216" i="5"/>
  <c r="AH80" i="5"/>
  <c r="AI80" i="5"/>
  <c r="T8" i="5"/>
  <c r="B206" i="2"/>
  <c r="B255" i="2"/>
  <c r="AL64" i="5"/>
  <c r="AK64" i="5"/>
  <c r="AO251" i="5"/>
  <c r="AN251" i="5"/>
  <c r="U51" i="5"/>
  <c r="V51" i="5"/>
  <c r="AN155" i="5"/>
  <c r="AO155" i="5"/>
  <c r="AH217" i="5"/>
  <c r="AN409" i="5"/>
  <c r="AO409" i="5"/>
  <c r="AJ195" i="5"/>
  <c r="AJ519" i="5"/>
  <c r="AN113" i="5"/>
  <c r="AO113" i="5"/>
  <c r="AO347" i="5"/>
  <c r="AN347" i="5"/>
  <c r="AI305" i="5"/>
  <c r="AH305" i="5"/>
  <c r="AJ171" i="5"/>
  <c r="AJ457" i="5"/>
  <c r="AJ131" i="5"/>
  <c r="AJ59" i="5"/>
  <c r="AJ115" i="5"/>
  <c r="AN436" i="5"/>
  <c r="AO436" i="5"/>
  <c r="AI461" i="5"/>
  <c r="AH461" i="5"/>
  <c r="AI294" i="5"/>
  <c r="AH294" i="5"/>
  <c r="AH117" i="5"/>
  <c r="AI117" i="5"/>
  <c r="AI162" i="5"/>
  <c r="AH162" i="5"/>
  <c r="AH37" i="5"/>
  <c r="AI37" i="5"/>
  <c r="AI421" i="5"/>
  <c r="AH421" i="5"/>
  <c r="AH34" i="5"/>
  <c r="AI34" i="5"/>
  <c r="AI458" i="5"/>
  <c r="AH458" i="5"/>
  <c r="AI234" i="5"/>
  <c r="AH234" i="5"/>
  <c r="AI126" i="5"/>
  <c r="AH506" i="5"/>
  <c r="AI506" i="5"/>
  <c r="AI372" i="5"/>
  <c r="AH372" i="5"/>
  <c r="AH285" i="5"/>
  <c r="AH140" i="5"/>
  <c r="AI140" i="5"/>
  <c r="AI474" i="5"/>
  <c r="AH474" i="5"/>
  <c r="AI321" i="5"/>
  <c r="AH321" i="5"/>
  <c r="AI164" i="5"/>
  <c r="AH164" i="5"/>
  <c r="AI89" i="5"/>
  <c r="AH89" i="5"/>
  <c r="AN506" i="5"/>
  <c r="AO506" i="5"/>
  <c r="AN262" i="5"/>
  <c r="AO262" i="5"/>
  <c r="AN349" i="5"/>
  <c r="AO349" i="5"/>
  <c r="AN261" i="5"/>
  <c r="AO261" i="5"/>
  <c r="AN372" i="5"/>
  <c r="AO372" i="5"/>
  <c r="AO404" i="5"/>
  <c r="AN404" i="5"/>
  <c r="AO162" i="5"/>
  <c r="AN162" i="5"/>
  <c r="AM12" i="5"/>
  <c r="Q12" i="5"/>
  <c r="T12" i="5"/>
  <c r="AJ12" i="5"/>
  <c r="AG12" i="5"/>
  <c r="W12" i="5"/>
  <c r="AO477" i="5"/>
  <c r="AO314" i="5"/>
  <c r="AN314" i="5"/>
  <c r="AO125" i="5"/>
  <c r="U152" i="4"/>
  <c r="U11" i="4"/>
  <c r="AS85" i="4"/>
  <c r="V85" i="4"/>
  <c r="U85" i="4"/>
  <c r="U92" i="4"/>
  <c r="V92" i="4"/>
  <c r="AS92" i="4"/>
  <c r="V82" i="4"/>
  <c r="AS82" i="4"/>
  <c r="U82" i="4"/>
  <c r="U72" i="4"/>
  <c r="V81" i="4"/>
  <c r="AS81" i="4"/>
  <c r="U81" i="4"/>
  <c r="AJ533" i="5"/>
  <c r="AI463" i="5"/>
  <c r="AH463" i="5"/>
  <c r="AJ351" i="5"/>
  <c r="AJ383" i="5"/>
  <c r="AN223" i="5"/>
  <c r="AJ263" i="5"/>
  <c r="AJ159" i="5"/>
  <c r="AJ191" i="5"/>
  <c r="AN23" i="5"/>
  <c r="AO23" i="5"/>
  <c r="AI55" i="5"/>
  <c r="AH55" i="5"/>
  <c r="AJ95" i="5"/>
  <c r="U129" i="5"/>
  <c r="U20" i="5"/>
  <c r="V20" i="5"/>
  <c r="U164" i="5"/>
  <c r="V164" i="5"/>
  <c r="U113" i="5"/>
  <c r="V113" i="5"/>
  <c r="B51" i="2"/>
  <c r="B32" i="2" s="1"/>
  <c r="AO538" i="5"/>
  <c r="AN538" i="5"/>
  <c r="AJ448" i="5"/>
  <c r="AJ504" i="5"/>
  <c r="AO328" i="5"/>
  <c r="AJ376" i="5"/>
  <c r="AH296" i="5"/>
  <c r="AI296" i="5"/>
  <c r="AJ120" i="5"/>
  <c r="AO152" i="5"/>
  <c r="AJ176" i="5"/>
  <c r="U40" i="5"/>
  <c r="AJ112" i="5"/>
  <c r="AJ369" i="5"/>
  <c r="AJ281" i="5"/>
  <c r="AH473" i="5"/>
  <c r="AH363" i="5"/>
  <c r="AI363" i="5"/>
  <c r="AN185" i="5"/>
  <c r="AO185" i="5"/>
  <c r="AO435" i="5"/>
  <c r="AN211" i="5"/>
  <c r="AI81" i="5"/>
  <c r="AH81" i="5"/>
  <c r="AJ203" i="5"/>
  <c r="AJ395" i="5"/>
  <c r="AJ155" i="5"/>
  <c r="AN476" i="5"/>
  <c r="AO476" i="5"/>
  <c r="AI389" i="5"/>
  <c r="AH389" i="5"/>
  <c r="AI466" i="5"/>
  <c r="AH466" i="5"/>
  <c r="AH278" i="5"/>
  <c r="AI278" i="5"/>
  <c r="AI149" i="5"/>
  <c r="AH149" i="5"/>
  <c r="AI397" i="5"/>
  <c r="AH397" i="5"/>
  <c r="AH190" i="5"/>
  <c r="AI190" i="5"/>
  <c r="AI29" i="5"/>
  <c r="AH29" i="5"/>
  <c r="AI422" i="5"/>
  <c r="AH422" i="5"/>
  <c r="AH154" i="5"/>
  <c r="AI154" i="5"/>
  <c r="AH77" i="5"/>
  <c r="AI77" i="5"/>
  <c r="AI477" i="5"/>
  <c r="AH477" i="5"/>
  <c r="AH158" i="5"/>
  <c r="AI158" i="5"/>
  <c r="AI523" i="5"/>
  <c r="AH523" i="5"/>
  <c r="AH516" i="5"/>
  <c r="AI516" i="5"/>
  <c r="AH436" i="5"/>
  <c r="AI218" i="5"/>
  <c r="AH218" i="5"/>
  <c r="AH121" i="5"/>
  <c r="AI121" i="5"/>
  <c r="AN551" i="5"/>
  <c r="AN318" i="5"/>
  <c r="AO98" i="5"/>
  <c r="AN98" i="5"/>
  <c r="AN518" i="5"/>
  <c r="AN390" i="5"/>
  <c r="AO390" i="5"/>
  <c r="AO528" i="5"/>
  <c r="AO532" i="5"/>
  <c r="AN532" i="5"/>
  <c r="AN301" i="5"/>
  <c r="AO552" i="5"/>
  <c r="AN552" i="5"/>
  <c r="AN234" i="5"/>
  <c r="AO234" i="5"/>
  <c r="AN326" i="5"/>
  <c r="AO326" i="5"/>
  <c r="AN197" i="5"/>
  <c r="AN68" i="5"/>
  <c r="AO68" i="5"/>
  <c r="AS120" i="4"/>
  <c r="U120" i="4"/>
  <c r="V120" i="4"/>
  <c r="AS129" i="4"/>
  <c r="U60" i="4"/>
  <c r="AS43" i="4"/>
  <c r="AS50" i="4"/>
  <c r="U50" i="4"/>
  <c r="U13" i="4"/>
  <c r="V13" i="4"/>
  <c r="AS13" i="4"/>
  <c r="V32" i="4"/>
  <c r="AS32" i="4"/>
  <c r="U32" i="4"/>
  <c r="AI553" i="5"/>
  <c r="AJ447" i="5"/>
  <c r="AJ479" i="5"/>
  <c r="AI419" i="5"/>
  <c r="AH419" i="5"/>
  <c r="AI351" i="5"/>
  <c r="AH351" i="5"/>
  <c r="AI383" i="5"/>
  <c r="AH383" i="5"/>
  <c r="AJ231" i="5"/>
  <c r="AN263" i="5"/>
  <c r="AO263" i="5"/>
  <c r="AJ199" i="5"/>
  <c r="AI31" i="5"/>
  <c r="AH31" i="5"/>
  <c r="U71" i="5"/>
  <c r="V153" i="5"/>
  <c r="U153" i="5"/>
  <c r="V308" i="5"/>
  <c r="U308" i="5"/>
  <c r="V165" i="5"/>
  <c r="U165" i="5"/>
  <c r="V42" i="5"/>
  <c r="U189" i="5"/>
  <c r="U90" i="5"/>
  <c r="V90" i="5"/>
  <c r="AO546" i="5"/>
  <c r="AN546" i="5"/>
  <c r="AH448" i="5"/>
  <c r="AI448" i="5"/>
  <c r="AJ512" i="5"/>
  <c r="AJ384" i="5"/>
  <c r="AO232" i="5"/>
  <c r="AJ256" i="5"/>
  <c r="AH128" i="5"/>
  <c r="AI128" i="5"/>
  <c r="AH160" i="5"/>
  <c r="AI160" i="5"/>
  <c r="U216" i="5"/>
  <c r="V216" i="5"/>
  <c r="AO40" i="5"/>
  <c r="AN40" i="5"/>
  <c r="U96" i="5"/>
  <c r="V96" i="5"/>
  <c r="AH112" i="5"/>
  <c r="AI112" i="5"/>
  <c r="AN519" i="5"/>
  <c r="AO519" i="5"/>
  <c r="AN83" i="5"/>
  <c r="AO83" i="5"/>
  <c r="AN299" i="5"/>
  <c r="AO299" i="5"/>
  <c r="AI91" i="5"/>
  <c r="AH91" i="5"/>
  <c r="AN281" i="5"/>
  <c r="AO281" i="5"/>
  <c r="AJ26" i="5"/>
  <c r="AJ33" i="5"/>
  <c r="AJ34" i="5"/>
  <c r="AJ36" i="5"/>
  <c r="AJ65" i="5"/>
  <c r="AJ58" i="5"/>
  <c r="AJ70" i="5"/>
  <c r="AJ141" i="5"/>
  <c r="AJ102" i="5"/>
  <c r="AJ188" i="5"/>
  <c r="AJ148" i="5"/>
  <c r="AJ214" i="5"/>
  <c r="AJ241" i="5"/>
  <c r="AJ253" i="5"/>
  <c r="AJ294" i="5"/>
  <c r="AJ329" i="5"/>
  <c r="AJ251" i="5"/>
  <c r="AJ213" i="5"/>
  <c r="AJ270" i="5"/>
  <c r="AJ297" i="5"/>
  <c r="AJ246" i="5"/>
  <c r="AJ345" i="5"/>
  <c r="AJ370" i="5"/>
  <c r="AJ38" i="5"/>
  <c r="AJ68" i="5"/>
  <c r="AJ101" i="5"/>
  <c r="AJ138" i="5"/>
  <c r="AJ116" i="5"/>
  <c r="AJ133" i="5"/>
  <c r="AJ180" i="5"/>
  <c r="AJ242" i="5"/>
  <c r="AJ234" i="5"/>
  <c r="AJ189" i="5"/>
  <c r="AJ218" i="5"/>
  <c r="AJ298" i="5"/>
  <c r="AJ330" i="5"/>
  <c r="AJ254" i="5"/>
  <c r="AJ314" i="5"/>
  <c r="AJ221" i="5"/>
  <c r="AJ333" i="5"/>
  <c r="AJ346" i="5"/>
  <c r="AJ342" i="5"/>
  <c r="AJ378" i="5"/>
  <c r="AJ420" i="5"/>
  <c r="AJ396" i="5"/>
  <c r="AJ338" i="5"/>
  <c r="AJ446" i="5"/>
  <c r="AJ506" i="5"/>
  <c r="AJ502" i="5"/>
  <c r="AJ517" i="5"/>
  <c r="AJ542" i="5"/>
  <c r="AJ550" i="5"/>
  <c r="AJ528" i="5"/>
  <c r="AJ548" i="5"/>
  <c r="AJ486" i="5"/>
  <c r="AJ44" i="5"/>
  <c r="AJ42" i="5"/>
  <c r="AJ50" i="5"/>
  <c r="AJ74" i="5"/>
  <c r="AJ78" i="5"/>
  <c r="AJ109" i="5"/>
  <c r="AJ100" i="5"/>
  <c r="AJ118" i="5"/>
  <c r="AJ149" i="5"/>
  <c r="AJ110" i="5"/>
  <c r="AJ186" i="5"/>
  <c r="AJ165" i="5"/>
  <c r="AJ194" i="5"/>
  <c r="AJ222" i="5"/>
  <c r="AJ193" i="5"/>
  <c r="AJ269" i="5"/>
  <c r="AJ305" i="5"/>
  <c r="AJ177" i="5"/>
  <c r="AJ257" i="5"/>
  <c r="AJ293" i="5"/>
  <c r="AJ250" i="5"/>
  <c r="AJ277" i="5"/>
  <c r="AJ308" i="5"/>
  <c r="AJ340" i="5"/>
  <c r="AJ356" i="5"/>
  <c r="AJ412" i="5"/>
  <c r="AJ349" i="5"/>
  <c r="AJ394" i="5"/>
  <c r="AJ401" i="5"/>
  <c r="AJ385" i="5"/>
  <c r="AJ461" i="5"/>
  <c r="AJ482" i="5"/>
  <c r="AJ418" i="5"/>
  <c r="AJ508" i="5"/>
  <c r="AJ417" i="5"/>
  <c r="AJ442" i="5"/>
  <c r="AJ527" i="5"/>
  <c r="AJ547" i="5"/>
  <c r="AJ556" i="5"/>
  <c r="AJ535" i="5"/>
  <c r="AJ497" i="5"/>
  <c r="AJ46" i="5"/>
  <c r="AJ45" i="5"/>
  <c r="AJ54" i="5"/>
  <c r="AJ84" i="5"/>
  <c r="AJ130" i="5"/>
  <c r="AJ157" i="5"/>
  <c r="AJ114" i="5"/>
  <c r="AJ164" i="5"/>
  <c r="AJ156" i="5"/>
  <c r="AJ170" i="5"/>
  <c r="AJ205" i="5"/>
  <c r="AJ226" i="5"/>
  <c r="AJ197" i="5"/>
  <c r="AJ198" i="5"/>
  <c r="AJ310" i="5"/>
  <c r="AJ322" i="5"/>
  <c r="AJ252" i="5"/>
  <c r="AJ282" i="5"/>
  <c r="AJ357" i="5"/>
  <c r="AJ380" i="5"/>
  <c r="AJ413" i="5"/>
  <c r="AJ354" i="5"/>
  <c r="AJ300" i="5"/>
  <c r="AJ381" i="5"/>
  <c r="AJ428" i="5"/>
  <c r="AJ484" i="5"/>
  <c r="AJ454" i="5"/>
  <c r="AJ509" i="5"/>
  <c r="AJ421" i="5"/>
  <c r="AJ445" i="5"/>
  <c r="AJ485" i="5"/>
  <c r="AJ552" i="5"/>
  <c r="AJ452" i="5"/>
  <c r="AJ22" i="5"/>
  <c r="AJ20" i="5"/>
  <c r="AJ21" i="5"/>
  <c r="AJ52" i="5"/>
  <c r="AJ61" i="5"/>
  <c r="AJ60" i="5"/>
  <c r="AJ85" i="5"/>
  <c r="AJ125" i="5"/>
  <c r="AJ158" i="5"/>
  <c r="AJ132" i="5"/>
  <c r="AJ150" i="5"/>
  <c r="AJ166" i="5"/>
  <c r="AJ173" i="5"/>
  <c r="AJ228" i="5"/>
  <c r="AJ172" i="5"/>
  <c r="AJ236" i="5"/>
  <c r="AJ278" i="5"/>
  <c r="AJ317" i="5"/>
  <c r="AJ230" i="5"/>
  <c r="AJ301" i="5"/>
  <c r="AJ324" i="5"/>
  <c r="AJ258" i="5"/>
  <c r="AJ286" i="5"/>
  <c r="AJ316" i="5"/>
  <c r="AJ274" i="5"/>
  <c r="AJ358" i="5"/>
  <c r="AJ398" i="5"/>
  <c r="AJ382" i="5"/>
  <c r="AJ405" i="5"/>
  <c r="AJ429" i="5"/>
  <c r="AJ492" i="5"/>
  <c r="AJ523" i="5"/>
  <c r="AJ436" i="5"/>
  <c r="AJ510" i="5"/>
  <c r="AJ422" i="5"/>
  <c r="AJ490" i="5"/>
  <c r="AJ558" i="5"/>
  <c r="AJ462" i="5"/>
  <c r="AJ514" i="5"/>
  <c r="AJ28" i="5"/>
  <c r="AJ57" i="5"/>
  <c r="AJ82" i="5"/>
  <c r="AJ106" i="5"/>
  <c r="AJ134" i="5"/>
  <c r="AJ140" i="5"/>
  <c r="AJ179" i="5"/>
  <c r="AJ204" i="5"/>
  <c r="AJ237" i="5"/>
  <c r="AJ232" i="5"/>
  <c r="AJ321" i="5"/>
  <c r="AJ287" i="5"/>
  <c r="AJ267" i="5"/>
  <c r="AJ355" i="5"/>
  <c r="AJ377" i="5"/>
  <c r="AJ434" i="5"/>
  <c r="AJ388" i="5"/>
  <c r="AJ372" i="5"/>
  <c r="AJ352" i="5"/>
  <c r="AJ480" i="5"/>
  <c r="AJ373" i="5"/>
  <c r="AJ481" i="5"/>
  <c r="AJ266" i="5"/>
  <c r="AJ437" i="5"/>
  <c r="AJ526" i="5"/>
  <c r="AJ404" i="5"/>
  <c r="AJ530" i="5"/>
  <c r="AJ498" i="5"/>
  <c r="AJ19" i="5"/>
  <c r="O13" i="5"/>
  <c r="AJ23" i="5"/>
  <c r="AJ39" i="5"/>
  <c r="AJ62" i="5"/>
  <c r="AJ93" i="5"/>
  <c r="AJ117" i="5"/>
  <c r="AJ136" i="5"/>
  <c r="AJ151" i="5"/>
  <c r="AJ137" i="5"/>
  <c r="AJ25" i="5"/>
  <c r="AJ63" i="5"/>
  <c r="AJ75" i="5"/>
  <c r="AJ94" i="5"/>
  <c r="AJ126" i="5"/>
  <c r="AJ145" i="5"/>
  <c r="AJ154" i="5"/>
  <c r="AJ182" i="5"/>
  <c r="AJ219" i="5"/>
  <c r="AJ181" i="5"/>
  <c r="AJ243" i="5"/>
  <c r="AJ331" i="5"/>
  <c r="AJ309" i="5"/>
  <c r="AJ289" i="5"/>
  <c r="AJ296" i="5"/>
  <c r="AJ390" i="5"/>
  <c r="AJ336" i="5"/>
  <c r="AJ406" i="5"/>
  <c r="AJ387" i="5"/>
  <c r="AJ440" i="5"/>
  <c r="AJ500" i="5"/>
  <c r="AJ441" i="5"/>
  <c r="AJ494" i="5"/>
  <c r="AJ393" i="5"/>
  <c r="AJ458" i="5"/>
  <c r="AJ538" i="5"/>
  <c r="AJ532" i="5"/>
  <c r="AJ551" i="5"/>
  <c r="AJ555" i="5"/>
  <c r="AJ37" i="5"/>
  <c r="AJ69" i="5"/>
  <c r="AJ76" i="5"/>
  <c r="AJ104" i="5"/>
  <c r="AJ128" i="5"/>
  <c r="AJ80" i="5"/>
  <c r="AJ139" i="5"/>
  <c r="AJ184" i="5"/>
  <c r="AJ235" i="5"/>
  <c r="AJ192" i="5"/>
  <c r="AJ247" i="5"/>
  <c r="AJ248" i="5"/>
  <c r="AJ315" i="5"/>
  <c r="AJ292" i="5"/>
  <c r="AJ337" i="5"/>
  <c r="AJ392" i="5"/>
  <c r="AJ341" i="5"/>
  <c r="AJ415" i="5"/>
  <c r="AJ391" i="5"/>
  <c r="AJ444" i="5"/>
  <c r="AJ505" i="5"/>
  <c r="AJ443" i="5"/>
  <c r="AJ499" i="5"/>
  <c r="AJ402" i="5"/>
  <c r="AJ460" i="5"/>
  <c r="AJ540" i="5"/>
  <c r="AJ549" i="5"/>
  <c r="AJ554" i="5"/>
  <c r="AJ557" i="5"/>
  <c r="AJ29" i="5"/>
  <c r="AJ53" i="5"/>
  <c r="AJ77" i="5"/>
  <c r="AJ90" i="5"/>
  <c r="AJ146" i="5"/>
  <c r="AJ86" i="5"/>
  <c r="AJ168" i="5"/>
  <c r="AJ196" i="5"/>
  <c r="AJ238" i="5"/>
  <c r="AJ206" i="5"/>
  <c r="AJ262" i="5"/>
  <c r="AJ249" i="5"/>
  <c r="AJ332" i="5"/>
  <c r="AJ304" i="5"/>
  <c r="AJ344" i="5"/>
  <c r="AJ408" i="5"/>
  <c r="AJ348" i="5"/>
  <c r="AJ259" i="5"/>
  <c r="AJ397" i="5"/>
  <c r="AJ453" i="5"/>
  <c r="AJ511" i="5"/>
  <c r="AJ450" i="5"/>
  <c r="AJ503" i="5"/>
  <c r="AJ414" i="5"/>
  <c r="AJ472" i="5"/>
  <c r="AJ544" i="5"/>
  <c r="AJ559" i="5"/>
  <c r="AJ560" i="5"/>
  <c r="AJ474" i="5"/>
  <c r="AJ30" i="5"/>
  <c r="AJ66" i="5"/>
  <c r="AJ73" i="5"/>
  <c r="AJ92" i="5"/>
  <c r="AJ161" i="5"/>
  <c r="AJ108" i="5"/>
  <c r="AJ174" i="5"/>
  <c r="AJ124" i="5"/>
  <c r="AJ244" i="5"/>
  <c r="AJ209" i="5"/>
  <c r="AJ284" i="5"/>
  <c r="AJ255" i="5"/>
  <c r="AJ190" i="5"/>
  <c r="AJ319" i="5"/>
  <c r="AJ350" i="5"/>
  <c r="AJ419" i="5"/>
  <c r="AJ364" i="5"/>
  <c r="AJ323" i="5"/>
  <c r="AJ407" i="5"/>
  <c r="AJ470" i="5"/>
  <c r="AJ537" i="5"/>
  <c r="AJ463" i="5"/>
  <c r="AJ513" i="5"/>
  <c r="AJ424" i="5"/>
  <c r="AJ491" i="5"/>
  <c r="AJ261" i="5"/>
  <c r="AJ468" i="5"/>
  <c r="AJ471" i="5"/>
  <c r="AJ529" i="5"/>
  <c r="AJ41" i="5"/>
  <c r="AJ27" i="5"/>
  <c r="AJ91" i="5"/>
  <c r="AJ98" i="5"/>
  <c r="AJ87" i="5"/>
  <c r="AJ123" i="5"/>
  <c r="AJ185" i="5"/>
  <c r="AJ142" i="5"/>
  <c r="AJ202" i="5"/>
  <c r="AJ220" i="5"/>
  <c r="AJ290" i="5"/>
  <c r="AJ268" i="5"/>
  <c r="AJ245" i="5"/>
  <c r="AJ325" i="5"/>
  <c r="AJ363" i="5"/>
  <c r="AJ426" i="5"/>
  <c r="AJ366" i="5"/>
  <c r="AJ343" i="5"/>
  <c r="AJ409" i="5"/>
  <c r="AJ476" i="5"/>
  <c r="AJ288" i="5"/>
  <c r="AJ466" i="5"/>
  <c r="AJ518" i="5"/>
  <c r="AJ425" i="5"/>
  <c r="AJ496" i="5"/>
  <c r="AJ279" i="5"/>
  <c r="AJ516" i="5"/>
  <c r="AJ475" i="5"/>
  <c r="AJ543" i="5"/>
  <c r="AJ24" i="5"/>
  <c r="AJ49" i="5"/>
  <c r="AJ67" i="5"/>
  <c r="AJ103" i="5"/>
  <c r="AJ122" i="5"/>
  <c r="AJ129" i="5"/>
  <c r="AJ178" i="5"/>
  <c r="AJ162" i="5"/>
  <c r="AJ215" i="5"/>
  <c r="AJ229" i="5"/>
  <c r="AJ302" i="5"/>
  <c r="AJ275" i="5"/>
  <c r="AJ260" i="5"/>
  <c r="AJ334" i="5"/>
  <c r="AJ365" i="5"/>
  <c r="AJ427" i="5"/>
  <c r="AJ374" i="5"/>
  <c r="AJ362" i="5"/>
  <c r="AJ410" i="5"/>
  <c r="AJ477" i="5"/>
  <c r="AJ361" i="5"/>
  <c r="AJ469" i="5"/>
  <c r="AJ520" i="5"/>
  <c r="AJ433" i="5"/>
  <c r="AJ501" i="5"/>
  <c r="AJ285" i="5"/>
  <c r="AJ522" i="5"/>
  <c r="AJ478" i="5"/>
  <c r="AJ545" i="5"/>
  <c r="AJ212" i="5"/>
  <c r="AJ493" i="5"/>
  <c r="AJ389" i="5"/>
  <c r="AJ375" i="5"/>
  <c r="AJ210" i="5"/>
  <c r="AJ318" i="5"/>
  <c r="AJ456" i="5"/>
  <c r="AJ175" i="5"/>
  <c r="AJ400" i="5"/>
  <c r="AJ536" i="5"/>
  <c r="AJ208" i="5"/>
  <c r="AJ386" i="5"/>
  <c r="AJ524" i="5"/>
  <c r="AJ326" i="5"/>
  <c r="AJ430" i="5"/>
  <c r="AJ546" i="5"/>
  <c r="AJ306" i="5"/>
  <c r="AJ495" i="5"/>
  <c r="AJ531" i="5"/>
  <c r="AJ276" i="5"/>
  <c r="AJ438" i="5"/>
  <c r="AH337" i="5"/>
  <c r="AI337" i="5"/>
  <c r="AJ233" i="5"/>
  <c r="AJ507" i="5"/>
  <c r="AO243" i="5"/>
  <c r="AN243" i="5"/>
  <c r="AI97" i="5"/>
  <c r="AH97" i="5"/>
  <c r="AH497" i="5"/>
  <c r="AI497" i="5"/>
  <c r="AJ201" i="5"/>
  <c r="AJ435" i="5"/>
  <c r="AJ163" i="5"/>
  <c r="AO500" i="5"/>
  <c r="AN500" i="5"/>
  <c r="B47" i="2"/>
  <c r="B28" i="2" s="1"/>
  <c r="AI552" i="5"/>
  <c r="AH552" i="5"/>
  <c r="AH404" i="5"/>
  <c r="AI404" i="5"/>
  <c r="AI260" i="5"/>
  <c r="AH260" i="5"/>
  <c r="AI178" i="5"/>
  <c r="AH178" i="5"/>
  <c r="AH558" i="5"/>
  <c r="AI558" i="5"/>
  <c r="AI412" i="5"/>
  <c r="AH412" i="5"/>
  <c r="AI182" i="5"/>
  <c r="AH182" i="5"/>
  <c r="AH556" i="5"/>
  <c r="AI556" i="5"/>
  <c r="AI522" i="5"/>
  <c r="AI394" i="5"/>
  <c r="AH394" i="5"/>
  <c r="AI22" i="5"/>
  <c r="AH22" i="5"/>
  <c r="AI452" i="5"/>
  <c r="AH452" i="5"/>
  <c r="AH437" i="5"/>
  <c r="AH258" i="5"/>
  <c r="AI258" i="5"/>
  <c r="AH134" i="5"/>
  <c r="AI134" i="5"/>
  <c r="AI426" i="5"/>
  <c r="AH426" i="5"/>
  <c r="AI370" i="5"/>
  <c r="AH370" i="5"/>
  <c r="AH378" i="5"/>
  <c r="AI378" i="5"/>
  <c r="AI250" i="5"/>
  <c r="AH250" i="5"/>
  <c r="AI133" i="5"/>
  <c r="AH133" i="5"/>
  <c r="AI93" i="5"/>
  <c r="AH93" i="5"/>
  <c r="AO445" i="5"/>
  <c r="AN445" i="5"/>
  <c r="AO285" i="5"/>
  <c r="AN285" i="5"/>
  <c r="AN69" i="5"/>
  <c r="AO69" i="5"/>
  <c r="AO486" i="5"/>
  <c r="AN486" i="5"/>
  <c r="AN365" i="5"/>
  <c r="AO365" i="5"/>
  <c r="AN118" i="5"/>
  <c r="AO118" i="5"/>
  <c r="AO510" i="5"/>
  <c r="AN510" i="5"/>
  <c r="AN490" i="5"/>
  <c r="AO294" i="5"/>
  <c r="AN543" i="5"/>
  <c r="AN442" i="5"/>
  <c r="AN473" i="5"/>
  <c r="AO473" i="5"/>
  <c r="AO380" i="5"/>
  <c r="AN380" i="5"/>
  <c r="AN278" i="5"/>
  <c r="AO278" i="5"/>
  <c r="AO50" i="5"/>
  <c r="AN50" i="5"/>
  <c r="AS88" i="4"/>
  <c r="U88" i="4"/>
  <c r="V151" i="4"/>
  <c r="AS151" i="4"/>
  <c r="U151" i="4"/>
  <c r="V36" i="4"/>
  <c r="AS36" i="4"/>
  <c r="U36" i="4"/>
  <c r="V153" i="4"/>
  <c r="AS153" i="4"/>
  <c r="U153" i="4"/>
  <c r="U131" i="4"/>
  <c r="AS138" i="4"/>
  <c r="U138" i="4"/>
  <c r="V138" i="4"/>
  <c r="AS41" i="4"/>
  <c r="V41" i="4"/>
  <c r="U41" i="4"/>
  <c r="AJ553" i="5"/>
  <c r="AI533" i="5"/>
  <c r="AH533" i="5"/>
  <c r="AO487" i="5"/>
  <c r="AN487" i="5"/>
  <c r="AN419" i="5"/>
  <c r="AJ359" i="5"/>
  <c r="AN383" i="5"/>
  <c r="AO383" i="5"/>
  <c r="AO231" i="5"/>
  <c r="AN231" i="5"/>
  <c r="AJ271" i="5"/>
  <c r="AI219" i="5"/>
  <c r="AH219" i="5"/>
  <c r="AJ135" i="5"/>
  <c r="AJ167" i="5"/>
  <c r="U31" i="5"/>
  <c r="V31" i="5"/>
  <c r="AN71" i="5"/>
  <c r="AO71" i="5"/>
  <c r="AN103" i="5"/>
  <c r="V217" i="5"/>
  <c r="U277" i="5"/>
  <c r="V277" i="5"/>
  <c r="U124" i="5"/>
  <c r="V124" i="5"/>
  <c r="U158" i="5"/>
  <c r="V158" i="5"/>
  <c r="AO526" i="5"/>
  <c r="AN526" i="5"/>
  <c r="AI464" i="5"/>
  <c r="AH464" i="5"/>
  <c r="AI512" i="5"/>
  <c r="AH384" i="5"/>
  <c r="AI384" i="5"/>
  <c r="AI232" i="5"/>
  <c r="AH232" i="5"/>
  <c r="AH264" i="5"/>
  <c r="AI264" i="5"/>
  <c r="AI304" i="5"/>
  <c r="AH304" i="5"/>
  <c r="AO128" i="5"/>
  <c r="AN128" i="5"/>
  <c r="AJ160" i="5"/>
  <c r="AH184" i="5"/>
  <c r="AI184" i="5"/>
  <c r="AJ216" i="5"/>
  <c r="AI64" i="5"/>
  <c r="AH64" i="5"/>
  <c r="AH96" i="5"/>
  <c r="AI96" i="5"/>
  <c r="AJ449" i="5"/>
  <c r="AJ81" i="5"/>
  <c r="AI113" i="5"/>
  <c r="AH113" i="5"/>
  <c r="AJ515" i="5"/>
  <c r="AO324" i="5"/>
  <c r="AN324" i="5"/>
  <c r="AI476" i="5"/>
  <c r="AH476" i="5"/>
  <c r="AH202" i="5"/>
  <c r="AI202" i="5"/>
  <c r="AI214" i="5"/>
  <c r="AH146" i="5"/>
  <c r="AI146" i="5"/>
  <c r="AI454" i="5"/>
  <c r="AH454" i="5"/>
  <c r="AI402" i="5"/>
  <c r="AH402" i="5"/>
  <c r="AI356" i="5"/>
  <c r="AH356" i="5"/>
  <c r="AI118" i="5"/>
  <c r="AH118" i="5"/>
  <c r="AH365" i="5"/>
  <c r="AI365" i="5"/>
  <c r="AI493" i="5"/>
  <c r="AH493" i="5"/>
  <c r="AH330" i="5"/>
  <c r="AI330" i="5"/>
  <c r="AI157" i="5"/>
  <c r="AH157" i="5"/>
  <c r="AI20" i="5"/>
  <c r="AI517" i="5"/>
  <c r="AH517" i="5"/>
  <c r="AI406" i="5"/>
  <c r="AH406" i="5"/>
  <c r="AH332" i="5"/>
  <c r="AI332" i="5"/>
  <c r="AI101" i="5"/>
  <c r="AH101" i="5"/>
  <c r="AI536" i="5"/>
  <c r="AH536" i="5"/>
  <c r="AH510" i="5"/>
  <c r="AI510" i="5"/>
  <c r="AH284" i="5"/>
  <c r="AI284" i="5"/>
  <c r="AI324" i="5"/>
  <c r="AH324" i="5"/>
  <c r="AH165" i="5"/>
  <c r="AI165" i="5"/>
  <c r="AH66" i="5"/>
  <c r="AN540" i="5"/>
  <c r="AO540" i="5"/>
  <c r="AO370" i="5"/>
  <c r="AN370" i="5"/>
  <c r="AO189" i="5"/>
  <c r="AN189" i="5"/>
  <c r="AN66" i="5"/>
  <c r="AO66" i="5"/>
  <c r="AN498" i="5"/>
  <c r="AO498" i="5"/>
  <c r="AN258" i="5"/>
  <c r="AO258" i="5"/>
  <c r="AN133" i="5"/>
  <c r="AO133" i="5"/>
  <c r="AN482" i="5"/>
  <c r="AO482" i="5"/>
  <c r="AO348" i="5"/>
  <c r="AN348" i="5"/>
  <c r="AN253" i="5"/>
  <c r="AO253" i="5"/>
  <c r="AN93" i="5"/>
  <c r="AO93" i="5"/>
  <c r="AO560" i="5"/>
  <c r="AN560" i="5"/>
  <c r="AO374" i="5"/>
  <c r="AN374" i="5"/>
  <c r="AO222" i="5"/>
  <c r="AN222" i="5"/>
  <c r="AO82" i="5"/>
  <c r="AN82" i="5"/>
  <c r="AO356" i="5"/>
  <c r="AN356" i="5"/>
  <c r="AO157" i="5"/>
  <c r="AN157" i="5"/>
  <c r="AN31" i="5"/>
  <c r="AO31" i="5"/>
  <c r="U56" i="4"/>
  <c r="U119" i="4"/>
  <c r="V119" i="4"/>
  <c r="AS119" i="4"/>
  <c r="V112" i="4"/>
  <c r="AS112" i="4"/>
  <c r="U112" i="4"/>
  <c r="U121" i="4"/>
  <c r="V99" i="4"/>
  <c r="AS99" i="4"/>
  <c r="U99" i="4"/>
  <c r="AJ423" i="5"/>
  <c r="AJ487" i="5"/>
  <c r="AJ327" i="5"/>
  <c r="AI359" i="5"/>
  <c r="AH359" i="5"/>
  <c r="AJ399" i="5"/>
  <c r="AH239" i="5"/>
  <c r="AI239" i="5"/>
  <c r="AH143" i="5"/>
  <c r="AI143" i="5"/>
  <c r="AH199" i="5"/>
  <c r="AI199" i="5"/>
  <c r="AJ31" i="5"/>
  <c r="AJ71" i="5"/>
  <c r="AI103" i="5"/>
  <c r="AH103" i="5"/>
  <c r="V220" i="5"/>
  <c r="V213" i="5"/>
  <c r="V108" i="5"/>
  <c r="V81" i="5"/>
  <c r="U81" i="5"/>
  <c r="AJ534" i="5"/>
  <c r="AJ464" i="5"/>
  <c r="AI360" i="5"/>
  <c r="AH360" i="5"/>
  <c r="U240" i="5"/>
  <c r="V240" i="5"/>
  <c r="AN304" i="5"/>
  <c r="AO192" i="5"/>
  <c r="AH24" i="5"/>
  <c r="AI24" i="5"/>
  <c r="AN96" i="5"/>
  <c r="AO96" i="5"/>
  <c r="AH8" i="5"/>
  <c r="AI8" i="5"/>
  <c r="AJ473" i="5"/>
  <c r="AJ121" i="5"/>
  <c r="AJ89" i="5"/>
  <c r="V88" i="4"/>
  <c r="AO449" i="5"/>
  <c r="AI491" i="5"/>
  <c r="AH491" i="5"/>
  <c r="AN131" i="5"/>
  <c r="AO131" i="5"/>
  <c r="AH131" i="5"/>
  <c r="AI131" i="5"/>
  <c r="AH521" i="5"/>
  <c r="AI521" i="5"/>
  <c r="AJ347" i="5"/>
  <c r="U75" i="5"/>
  <c r="V75" i="5"/>
  <c r="AH119" i="5"/>
  <c r="AI119" i="5"/>
  <c r="AI557" i="5"/>
  <c r="AH557" i="5"/>
  <c r="AJ265" i="5"/>
  <c r="AJ411" i="5"/>
  <c r="AJ291" i="5"/>
  <c r="AO388" i="5"/>
  <c r="AN388" i="5"/>
  <c r="AH531" i="5"/>
  <c r="AI531" i="5"/>
  <c r="AH398" i="5"/>
  <c r="AI398" i="5"/>
  <c r="AI222" i="5"/>
  <c r="AH222" i="5"/>
  <c r="AH148" i="5"/>
  <c r="AI148" i="5"/>
  <c r="AH410" i="5"/>
  <c r="AI410" i="5"/>
  <c r="AH261" i="5"/>
  <c r="AI261" i="5"/>
  <c r="AI142" i="5"/>
  <c r="AH142" i="5"/>
  <c r="AI520" i="5"/>
  <c r="AH520" i="5"/>
  <c r="AH354" i="5"/>
  <c r="AI354" i="5"/>
  <c r="AI181" i="5"/>
  <c r="AH181" i="5"/>
  <c r="AH21" i="5"/>
  <c r="AI21" i="5"/>
  <c r="AI485" i="5"/>
  <c r="AH485" i="5"/>
  <c r="AI382" i="5"/>
  <c r="AH382" i="5"/>
  <c r="AH306" i="5"/>
  <c r="AI306" i="5"/>
  <c r="AI94" i="5"/>
  <c r="AH94" i="5"/>
  <c r="AH542" i="5"/>
  <c r="AI542" i="5"/>
  <c r="AH438" i="5"/>
  <c r="AI438" i="5"/>
  <c r="AI345" i="5"/>
  <c r="AH345" i="5"/>
  <c r="AI301" i="5"/>
  <c r="AH301" i="5"/>
  <c r="AI153" i="5"/>
  <c r="AH153" i="5"/>
  <c r="AO485" i="5"/>
  <c r="AN485" i="5"/>
  <c r="AN334" i="5"/>
  <c r="AO334" i="5"/>
  <c r="AO238" i="5"/>
  <c r="AN426" i="5"/>
  <c r="AO426" i="5"/>
  <c r="AN322" i="5"/>
  <c r="AO322" i="5"/>
  <c r="AO53" i="5"/>
  <c r="AN53" i="5"/>
  <c r="AO454" i="5"/>
  <c r="AN454" i="5"/>
  <c r="AO286" i="5"/>
  <c r="AN286" i="5"/>
  <c r="AN62" i="5"/>
  <c r="AO341" i="5"/>
  <c r="AN341" i="5"/>
  <c r="AN174" i="5"/>
  <c r="AO174" i="5"/>
  <c r="AN45" i="5"/>
  <c r="AO45" i="5"/>
  <c r="AN474" i="5"/>
  <c r="AO474" i="5"/>
  <c r="AN274" i="5"/>
  <c r="AO274" i="5"/>
  <c r="AN79" i="5"/>
  <c r="AO79" i="5"/>
  <c r="AS147" i="4"/>
  <c r="U147" i="4"/>
  <c r="V147" i="4"/>
  <c r="V154" i="4"/>
  <c r="AS154" i="4"/>
  <c r="U154" i="4"/>
  <c r="AS16" i="4"/>
  <c r="AS78" i="4"/>
  <c r="V78" i="4"/>
  <c r="U78" i="4"/>
  <c r="V87" i="4"/>
  <c r="U15" i="4"/>
  <c r="V80" i="4"/>
  <c r="AS80" i="4"/>
  <c r="U80" i="4"/>
  <c r="U89" i="4"/>
  <c r="V89" i="4"/>
  <c r="AS89" i="4"/>
  <c r="B223" i="2"/>
  <c r="B200" i="2"/>
  <c r="B212" i="2" s="1"/>
  <c r="H65" i="1" s="1"/>
  <c r="AH545" i="5"/>
  <c r="AI545" i="5"/>
  <c r="AN423" i="5"/>
  <c r="AO423" i="5"/>
  <c r="AJ455" i="5"/>
  <c r="AH487" i="5"/>
  <c r="AI487" i="5"/>
  <c r="AI327" i="5"/>
  <c r="AH327" i="5"/>
  <c r="AO359" i="5"/>
  <c r="AN359" i="5"/>
  <c r="AJ239" i="5"/>
  <c r="AO287" i="5"/>
  <c r="AN287" i="5"/>
  <c r="V127" i="5"/>
  <c r="U127" i="5"/>
  <c r="AN175" i="5"/>
  <c r="AO175" i="5"/>
  <c r="AJ207" i="5"/>
  <c r="AJ47" i="5"/>
  <c r="AH79" i="5"/>
  <c r="AI79" i="5"/>
  <c r="U202" i="5"/>
  <c r="V202" i="5"/>
  <c r="U78" i="5"/>
  <c r="V78" i="5"/>
  <c r="V157" i="5"/>
  <c r="U157" i="5"/>
  <c r="V238" i="5"/>
  <c r="U178" i="5"/>
  <c r="AN534" i="5"/>
  <c r="AO534" i="5"/>
  <c r="AJ488" i="5"/>
  <c r="AJ320" i="5"/>
  <c r="AN360" i="5"/>
  <c r="AO360" i="5"/>
  <c r="AN392" i="5"/>
  <c r="AO392" i="5"/>
  <c r="AI240" i="5"/>
  <c r="AH240" i="5"/>
  <c r="AJ264" i="5"/>
  <c r="AH312" i="5"/>
  <c r="AI312" i="5"/>
  <c r="U144" i="5"/>
  <c r="V144" i="5"/>
  <c r="V168" i="5"/>
  <c r="AH192" i="5"/>
  <c r="AI192" i="5"/>
  <c r="AJ48" i="5"/>
  <c r="AJ72" i="5"/>
  <c r="AJ96" i="5"/>
  <c r="AJ489" i="5"/>
  <c r="AJ113" i="5"/>
  <c r="AL273" i="5"/>
  <c r="AK273" i="5"/>
  <c r="AN549" i="5"/>
  <c r="AO549" i="5"/>
  <c r="AI457" i="5"/>
  <c r="AH457" i="5"/>
  <c r="AO169" i="5"/>
  <c r="AN169" i="5"/>
  <c r="AJ83" i="5"/>
  <c r="AJ313" i="5"/>
  <c r="AH267" i="5"/>
  <c r="AI267" i="5"/>
  <c r="AI535" i="5"/>
  <c r="AJ353" i="5"/>
  <c r="B174" i="2"/>
  <c r="B175" i="2"/>
  <c r="H54" i="1"/>
  <c r="AJ299" i="5"/>
  <c r="AJ211" i="5"/>
  <c r="AI498" i="5"/>
  <c r="AH498" i="5"/>
  <c r="AH364" i="5"/>
  <c r="AH82" i="5"/>
  <c r="AI82" i="5"/>
  <c r="AI528" i="5"/>
  <c r="AH528" i="5"/>
  <c r="AH386" i="5"/>
  <c r="AI386" i="5"/>
  <c r="AH276" i="5"/>
  <c r="AI276" i="5"/>
  <c r="AI141" i="5"/>
  <c r="AH551" i="5"/>
  <c r="AI551" i="5"/>
  <c r="AI390" i="5"/>
  <c r="AH390" i="5"/>
  <c r="AI270" i="5"/>
  <c r="AH270" i="5"/>
  <c r="AI173" i="5"/>
  <c r="AI470" i="5"/>
  <c r="AH470" i="5"/>
  <c r="AI350" i="5"/>
  <c r="AH350" i="5"/>
  <c r="AH290" i="5"/>
  <c r="AI290" i="5"/>
  <c r="AH274" i="5"/>
  <c r="AI274" i="5"/>
  <c r="AI492" i="5"/>
  <c r="AH492" i="5"/>
  <c r="AI346" i="5"/>
  <c r="AH346" i="5"/>
  <c r="AI313" i="5"/>
  <c r="AH313" i="5"/>
  <c r="AI273" i="5"/>
  <c r="AH273" i="5"/>
  <c r="AI110" i="5"/>
  <c r="AH110" i="5"/>
  <c r="AI54" i="5"/>
  <c r="AO556" i="5"/>
  <c r="AN556" i="5"/>
  <c r="AN410" i="5"/>
  <c r="AO410" i="5"/>
  <c r="AO130" i="5"/>
  <c r="AN130" i="5"/>
  <c r="AO438" i="5"/>
  <c r="AN438" i="5"/>
  <c r="AO270" i="5"/>
  <c r="AN270" i="5"/>
  <c r="AO302" i="5"/>
  <c r="AN302" i="5"/>
  <c r="AO430" i="5"/>
  <c r="AO418" i="5"/>
  <c r="AN418" i="5"/>
  <c r="AN228" i="5"/>
  <c r="AO508" i="5"/>
  <c r="AN508" i="5"/>
  <c r="AN413" i="5"/>
  <c r="AO413" i="5"/>
  <c r="AO198" i="5"/>
  <c r="AN198" i="5"/>
  <c r="AN547" i="5"/>
  <c r="AO547" i="5"/>
  <c r="AN446" i="5"/>
  <c r="AO446" i="5"/>
  <c r="AS122" i="4"/>
  <c r="U122" i="4"/>
  <c r="U33" i="4"/>
  <c r="U26" i="4"/>
  <c r="AJ525" i="5"/>
  <c r="AJ431" i="5"/>
  <c r="AH455" i="5"/>
  <c r="AI455" i="5"/>
  <c r="AN495" i="5"/>
  <c r="AO495" i="5"/>
  <c r="AJ335" i="5"/>
  <c r="AN367" i="5"/>
  <c r="AO367" i="5"/>
  <c r="AJ295" i="5"/>
  <c r="AJ127" i="5"/>
  <c r="AJ143" i="5"/>
  <c r="V175" i="5"/>
  <c r="U175" i="5"/>
  <c r="AO207" i="5"/>
  <c r="AN207" i="5"/>
  <c r="AN47" i="5"/>
  <c r="AJ79" i="5"/>
  <c r="U65" i="5"/>
  <c r="V65" i="5"/>
  <c r="V73" i="5"/>
  <c r="U73" i="5"/>
  <c r="U193" i="5"/>
  <c r="V193" i="5"/>
  <c r="U122" i="5"/>
  <c r="V122" i="5"/>
  <c r="U58" i="5"/>
  <c r="AH488" i="5"/>
  <c r="AI488" i="5"/>
  <c r="AN320" i="5"/>
  <c r="AO320" i="5"/>
  <c r="AJ360" i="5"/>
  <c r="AH392" i="5"/>
  <c r="AI392" i="5"/>
  <c r="AJ272" i="5"/>
  <c r="AJ312" i="5"/>
  <c r="AH144" i="5"/>
  <c r="AI144" i="5"/>
  <c r="AN168" i="5"/>
  <c r="AO168" i="5"/>
  <c r="AO200" i="5"/>
  <c r="AN200" i="5"/>
  <c r="AO32" i="5"/>
  <c r="AN32" i="5"/>
  <c r="AH48" i="5"/>
  <c r="AI48" i="5"/>
  <c r="AH72" i="5"/>
  <c r="AI72" i="5"/>
  <c r="V42" i="4"/>
  <c r="V122" i="4"/>
  <c r="AI379" i="5"/>
  <c r="AH379" i="5"/>
  <c r="AH25" i="5"/>
  <c r="AI25" i="5"/>
  <c r="AH51" i="5"/>
  <c r="AI51" i="5"/>
  <c r="AO115" i="5"/>
  <c r="AN115" i="5"/>
  <c r="AI257" i="5"/>
  <c r="AH257" i="5"/>
  <c r="AJ107" i="5"/>
  <c r="AJ403" i="5"/>
  <c r="AO395" i="5"/>
  <c r="AN395" i="5"/>
  <c r="AH355" i="5"/>
  <c r="AI355" i="5"/>
  <c r="AH527" i="5"/>
  <c r="AI527" i="5"/>
  <c r="AJ467" i="5"/>
  <c r="AJ339" i="5"/>
  <c r="AJ119" i="5"/>
  <c r="AF539" i="5"/>
  <c r="AF448" i="5"/>
  <c r="AF467" i="5"/>
  <c r="AF256" i="5"/>
  <c r="AF511" i="5"/>
  <c r="AF248" i="5"/>
  <c r="AF298" i="5"/>
  <c r="AF444" i="5"/>
  <c r="AF281" i="5"/>
  <c r="AF398" i="5"/>
  <c r="AF523" i="5"/>
  <c r="AF526" i="5"/>
  <c r="AF293" i="5"/>
  <c r="AF207" i="5"/>
  <c r="AF81" i="5"/>
  <c r="AF455" i="5"/>
  <c r="AF364" i="5"/>
  <c r="AF313" i="5"/>
  <c r="AF128" i="5"/>
  <c r="AF544" i="5"/>
  <c r="AF488" i="5"/>
  <c r="AF473" i="5"/>
  <c r="AF459" i="5"/>
  <c r="AF434" i="5"/>
  <c r="AF306" i="5"/>
  <c r="AF272" i="5"/>
  <c r="AF205" i="5"/>
  <c r="AF132" i="5"/>
  <c r="AF27" i="5"/>
  <c r="AF525" i="5"/>
  <c r="AF520" i="5"/>
  <c r="AF512" i="5"/>
  <c r="AF516" i="5"/>
  <c r="AF320" i="5"/>
  <c r="AF265" i="5"/>
  <c r="AF304" i="5"/>
  <c r="AF173" i="5"/>
  <c r="AF64" i="5"/>
  <c r="AF46" i="5"/>
  <c r="AF93" i="5"/>
  <c r="AF167" i="5"/>
  <c r="AF213" i="5"/>
  <c r="AF266" i="5"/>
  <c r="AF288" i="5"/>
  <c r="AF331" i="5"/>
  <c r="AF393" i="5"/>
  <c r="AF383" i="5"/>
  <c r="AF413" i="5"/>
  <c r="AF490" i="5"/>
  <c r="AF79" i="5"/>
  <c r="AF155" i="5"/>
  <c r="AF186" i="5"/>
  <c r="AF194" i="5"/>
  <c r="AF311" i="5"/>
  <c r="AF247" i="5"/>
  <c r="AF277" i="5"/>
  <c r="AF257" i="5"/>
  <c r="AF335" i="5"/>
  <c r="AF406" i="5"/>
  <c r="AF134" i="5"/>
  <c r="AF117" i="5"/>
  <c r="AF74" i="5"/>
  <c r="AF40" i="5"/>
  <c r="AF130" i="5"/>
  <c r="AF121" i="5"/>
  <c r="AF160" i="5"/>
  <c r="AF75" i="5"/>
  <c r="AF44" i="5"/>
  <c r="AF7" i="5"/>
  <c r="AF9" i="5"/>
  <c r="AF430" i="5"/>
  <c r="AF362" i="5"/>
  <c r="AF514" i="5"/>
  <c r="AF316" i="5"/>
  <c r="AF461" i="5"/>
  <c r="AF318" i="5"/>
  <c r="AF228" i="5"/>
  <c r="AF478" i="5"/>
  <c r="AF250" i="5"/>
  <c r="AF513" i="5"/>
  <c r="AF500" i="5"/>
  <c r="AF485" i="5"/>
  <c r="AF330" i="5"/>
  <c r="AF157" i="5"/>
  <c r="AF70" i="5"/>
  <c r="AF426" i="5"/>
  <c r="AF377" i="5"/>
  <c r="AF227" i="5"/>
  <c r="AF54" i="5"/>
  <c r="AF518" i="5"/>
  <c r="AF429" i="5"/>
  <c r="AF463" i="5"/>
  <c r="AF439" i="5"/>
  <c r="AF397" i="5"/>
  <c r="AF208" i="5"/>
  <c r="AF215" i="5"/>
  <c r="AF240" i="5"/>
  <c r="AF144" i="5"/>
  <c r="AF550" i="5"/>
  <c r="AF451" i="5"/>
  <c r="AF506" i="5"/>
  <c r="AF498" i="5"/>
  <c r="AF496" i="5"/>
  <c r="AF402" i="5"/>
  <c r="AF350" i="5"/>
  <c r="AF278" i="5"/>
  <c r="AF159" i="5"/>
  <c r="AF63" i="5"/>
  <c r="AF33" i="5"/>
  <c r="AF116" i="5"/>
  <c r="AF164" i="5"/>
  <c r="AF225" i="5"/>
  <c r="AF279" i="5"/>
  <c r="AF303" i="5"/>
  <c r="AF352" i="5"/>
  <c r="AF409" i="5"/>
  <c r="AF404" i="5"/>
  <c r="AF336" i="5"/>
  <c r="AF39" i="5"/>
  <c r="AF96" i="5"/>
  <c r="AF127" i="5"/>
  <c r="AF216" i="5"/>
  <c r="AF203" i="5"/>
  <c r="AF327" i="5"/>
  <c r="AF268" i="5"/>
  <c r="AF324" i="5"/>
  <c r="AF295" i="5"/>
  <c r="AF357" i="5"/>
  <c r="AF433" i="5"/>
  <c r="AF182" i="5"/>
  <c r="AF107" i="5"/>
  <c r="AF78" i="5"/>
  <c r="AF42" i="5"/>
  <c r="AF172" i="5"/>
  <c r="AF103" i="5"/>
  <c r="AF142" i="5"/>
  <c r="AF35" i="5"/>
  <c r="AF37" i="5"/>
  <c r="AF12" i="5"/>
  <c r="AF471" i="5"/>
  <c r="AF243" i="5"/>
  <c r="AF517" i="5"/>
  <c r="AF199" i="5"/>
  <c r="AF437" i="5"/>
  <c r="AF235" i="5"/>
  <c r="AF510" i="5"/>
  <c r="AF483" i="5"/>
  <c r="AF146" i="5"/>
  <c r="AF559" i="5"/>
  <c r="AF446" i="5"/>
  <c r="AF412" i="5"/>
  <c r="AF285" i="5"/>
  <c r="AF91" i="5"/>
  <c r="AF560" i="5"/>
  <c r="AF468" i="5"/>
  <c r="AF332" i="5"/>
  <c r="AF226" i="5"/>
  <c r="AF55" i="5"/>
  <c r="AF541" i="5"/>
  <c r="AF545" i="5"/>
  <c r="AF432" i="5"/>
  <c r="AF536" i="5"/>
  <c r="AF389" i="5"/>
  <c r="AF372" i="5"/>
  <c r="AF261" i="5"/>
  <c r="AF187" i="5"/>
  <c r="AP187" i="5" s="1"/>
  <c r="AF109" i="5"/>
  <c r="AF549" i="5"/>
  <c r="AF499" i="5"/>
  <c r="AF476" i="5"/>
  <c r="AF462" i="5"/>
  <c r="AF435" i="5"/>
  <c r="AF309" i="5"/>
  <c r="AF275" i="5"/>
  <c r="AF210" i="5"/>
  <c r="AF136" i="5"/>
  <c r="AF28" i="5"/>
  <c r="AF71" i="5"/>
  <c r="AF153" i="5"/>
  <c r="AF179" i="5"/>
  <c r="AF177" i="5"/>
  <c r="AF308" i="5"/>
  <c r="AF234" i="5"/>
  <c r="AF274" i="5"/>
  <c r="AF254" i="5"/>
  <c r="AF334" i="5"/>
  <c r="AF403" i="5"/>
  <c r="AF41" i="5"/>
  <c r="AF106" i="5"/>
  <c r="AF181" i="5"/>
  <c r="AF178" i="5"/>
  <c r="AF237" i="5"/>
  <c r="AF259" i="5"/>
  <c r="AF305" i="5"/>
  <c r="AF368" i="5"/>
  <c r="AF347" i="5"/>
  <c r="AF384" i="5"/>
  <c r="AF458" i="5"/>
  <c r="AF143" i="5"/>
  <c r="AF124" i="5"/>
  <c r="AF66" i="5"/>
  <c r="AF211" i="5"/>
  <c r="AF122" i="5"/>
  <c r="AF147" i="5"/>
  <c r="AF99" i="5"/>
  <c r="AF53" i="5"/>
  <c r="AF36" i="5"/>
  <c r="AF13" i="5"/>
  <c r="AF537" i="5"/>
  <c r="AF540" i="5"/>
  <c r="AF415" i="5"/>
  <c r="AF151" i="5"/>
  <c r="AF501" i="5"/>
  <c r="AF180" i="5"/>
  <c r="AF547" i="5"/>
  <c r="AF408" i="5"/>
  <c r="AF24" i="5"/>
  <c r="AF548" i="5"/>
  <c r="AF223" i="5"/>
  <c r="AF338" i="5"/>
  <c r="AF319" i="5"/>
  <c r="AF92" i="5"/>
  <c r="AF502" i="5"/>
  <c r="AF424" i="5"/>
  <c r="AF428" i="5"/>
  <c r="AF233" i="5"/>
  <c r="AF67" i="5"/>
  <c r="AF557" i="5"/>
  <c r="AF528" i="5"/>
  <c r="AF345" i="5"/>
  <c r="AF527" i="5"/>
  <c r="AF363" i="5"/>
  <c r="AF340" i="5"/>
  <c r="AF328" i="5"/>
  <c r="AF220" i="5"/>
  <c r="AF98" i="5"/>
  <c r="AF538" i="5"/>
  <c r="AF431" i="5"/>
  <c r="AF465" i="5"/>
  <c r="AF452" i="5"/>
  <c r="AF400" i="5"/>
  <c r="AF239" i="5"/>
  <c r="AF218" i="5"/>
  <c r="AF139" i="5"/>
  <c r="AF150" i="5"/>
  <c r="AF32" i="5"/>
  <c r="AF87" i="5"/>
  <c r="AF114" i="5"/>
  <c r="AF209" i="5"/>
  <c r="AF202" i="5"/>
  <c r="AF325" i="5"/>
  <c r="AF267" i="5"/>
  <c r="AF301" i="5"/>
  <c r="AF283" i="5"/>
  <c r="AF346" i="5"/>
  <c r="AF425" i="5"/>
  <c r="AF60" i="5"/>
  <c r="AF148" i="5"/>
  <c r="AF137" i="5"/>
  <c r="AF195" i="5"/>
  <c r="AF246" i="5"/>
  <c r="AF271" i="5"/>
  <c r="AF326" i="5"/>
  <c r="AF386" i="5"/>
  <c r="AF369" i="5"/>
  <c r="AF399" i="5"/>
  <c r="AF475" i="5"/>
  <c r="AF115" i="5"/>
  <c r="AF104" i="5"/>
  <c r="AF47" i="5"/>
  <c r="AF189" i="5"/>
  <c r="AF184" i="5"/>
  <c r="AF133" i="5"/>
  <c r="AF100" i="5"/>
  <c r="AF30" i="5"/>
  <c r="AF45" i="5"/>
  <c r="AF11" i="5"/>
  <c r="AF534" i="5"/>
  <c r="AF531" i="5"/>
  <c r="AF337" i="5"/>
  <c r="AF494" i="5"/>
  <c r="AF382" i="5"/>
  <c r="AP382" i="5" s="1"/>
  <c r="AF89" i="5"/>
  <c r="AF551" i="5"/>
  <c r="AF373" i="5"/>
  <c r="AF553" i="5"/>
  <c r="AF552" i="5"/>
  <c r="AF480" i="5"/>
  <c r="AF375" i="5"/>
  <c r="AF258" i="5"/>
  <c r="AF23" i="5"/>
  <c r="AF535" i="5"/>
  <c r="AF533" i="5"/>
  <c r="AF355" i="5"/>
  <c r="AF242" i="5"/>
  <c r="AF20" i="5"/>
  <c r="AF508" i="5"/>
  <c r="AF519" i="5"/>
  <c r="AF507" i="5"/>
  <c r="AF515" i="5"/>
  <c r="AF314" i="5"/>
  <c r="AF260" i="5"/>
  <c r="AF299" i="5"/>
  <c r="AF82" i="5"/>
  <c r="AF29" i="5"/>
  <c r="AF443" i="5"/>
  <c r="AF374" i="5"/>
  <c r="AF454" i="5"/>
  <c r="AF423" i="5"/>
  <c r="AF263" i="5"/>
  <c r="AF407" i="5"/>
  <c r="AF300" i="5"/>
  <c r="AF222" i="5"/>
  <c r="AF111" i="5"/>
  <c r="AF34" i="5"/>
  <c r="AF84" i="5"/>
  <c r="AF145" i="5"/>
  <c r="AF229" i="5"/>
  <c r="AF214" i="5"/>
  <c r="AF171" i="5"/>
  <c r="AF284" i="5"/>
  <c r="AF349" i="5"/>
  <c r="AF312" i="5"/>
  <c r="AF370" i="5"/>
  <c r="AF436" i="5"/>
  <c r="AF49" i="5"/>
  <c r="AF102" i="5"/>
  <c r="AF175" i="5"/>
  <c r="AF217" i="5"/>
  <c r="AF270" i="5"/>
  <c r="AF291" i="5"/>
  <c r="AF341" i="5"/>
  <c r="AF396" i="5"/>
  <c r="AF385" i="5"/>
  <c r="AF416" i="5"/>
  <c r="AF174" i="5"/>
  <c r="AF88" i="5"/>
  <c r="AF95" i="5"/>
  <c r="AF65" i="5"/>
  <c r="AF158" i="5"/>
  <c r="AF169" i="5"/>
  <c r="AF125" i="5"/>
  <c r="AF83" i="5"/>
  <c r="AF58" i="5"/>
  <c r="AF482" i="5"/>
  <c r="AF487" i="5"/>
  <c r="AF90" i="5"/>
  <c r="AF481" i="5"/>
  <c r="AF280" i="5"/>
  <c r="AF19" i="5"/>
  <c r="AF294" i="5"/>
  <c r="AF356" i="5"/>
  <c r="AF421" i="5"/>
  <c r="AF310" i="5"/>
  <c r="AF59" i="5"/>
  <c r="AF492" i="5"/>
  <c r="AF365" i="5"/>
  <c r="AF190" i="5"/>
  <c r="AF73" i="5"/>
  <c r="AF191" i="5"/>
  <c r="AF302" i="5"/>
  <c r="AF418" i="5"/>
  <c r="AF77" i="5"/>
  <c r="AF230" i="5"/>
  <c r="AF290" i="5"/>
  <c r="AF249" i="5"/>
  <c r="AF149" i="5"/>
  <c r="AF21" i="5"/>
  <c r="AF105" i="5"/>
  <c r="AF245" i="5"/>
  <c r="AF427" i="5"/>
  <c r="AF555" i="5"/>
  <c r="AF543" i="5"/>
  <c r="AF391" i="5"/>
  <c r="AF509" i="5"/>
  <c r="AF286" i="5"/>
  <c r="AF530" i="5"/>
  <c r="AF491" i="5"/>
  <c r="AF296" i="5"/>
  <c r="AF50" i="5"/>
  <c r="AF440" i="5"/>
  <c r="AF353" i="5"/>
  <c r="AF224" i="5"/>
  <c r="AF94" i="5"/>
  <c r="AF236" i="5"/>
  <c r="AF321" i="5"/>
  <c r="AF380" i="5"/>
  <c r="AF86" i="5"/>
  <c r="AF238" i="5"/>
  <c r="AF358" i="5"/>
  <c r="AF371" i="5"/>
  <c r="AF131" i="5"/>
  <c r="AF192" i="5"/>
  <c r="AF85" i="5"/>
  <c r="AF445" i="5"/>
  <c r="AF505" i="5"/>
  <c r="AF495" i="5"/>
  <c r="AF469" i="5"/>
  <c r="AF262" i="5"/>
  <c r="AF479" i="5"/>
  <c r="AF176" i="5"/>
  <c r="AF322" i="5"/>
  <c r="AF460" i="5"/>
  <c r="AF276" i="5"/>
  <c r="AF493" i="5"/>
  <c r="AF420" i="5"/>
  <c r="AF376" i="5"/>
  <c r="AF108" i="5"/>
  <c r="AF126" i="5"/>
  <c r="AF231" i="5"/>
  <c r="AF252" i="5"/>
  <c r="AF395" i="5"/>
  <c r="AF123" i="5"/>
  <c r="AF219" i="5"/>
  <c r="AF255" i="5"/>
  <c r="AF348" i="5"/>
  <c r="AF156" i="5"/>
  <c r="AF168" i="5"/>
  <c r="AF97" i="5"/>
  <c r="AF10" i="5"/>
  <c r="AF521" i="5"/>
  <c r="AP521" i="5" s="1"/>
  <c r="AF417" i="5"/>
  <c r="AF366" i="5"/>
  <c r="AF556" i="5"/>
  <c r="AF197" i="5"/>
  <c r="AF504" i="5"/>
  <c r="AF161" i="5"/>
  <c r="AF503" i="5"/>
  <c r="AF419" i="5"/>
  <c r="AF241" i="5"/>
  <c r="AF542" i="5"/>
  <c r="AF477" i="5"/>
  <c r="AF342" i="5"/>
  <c r="AF101" i="5"/>
  <c r="AF135" i="5"/>
  <c r="AF201" i="5"/>
  <c r="AF367" i="5"/>
  <c r="AF388" i="5"/>
  <c r="AF140" i="5"/>
  <c r="AF282" i="5"/>
  <c r="AF354" i="5"/>
  <c r="AF394" i="5"/>
  <c r="AP394" i="5" s="1"/>
  <c r="AF57" i="5"/>
  <c r="AF152" i="5"/>
  <c r="AF48" i="5"/>
  <c r="AF31" i="5"/>
  <c r="AF453" i="5"/>
  <c r="AF438" i="5"/>
  <c r="AF387" i="5"/>
  <c r="AF470" i="5"/>
  <c r="AF212" i="5"/>
  <c r="AF497" i="5"/>
  <c r="AF68" i="5"/>
  <c r="AF484" i="5"/>
  <c r="AF390" i="5"/>
  <c r="AF221" i="5"/>
  <c r="AF558" i="5"/>
  <c r="AF359" i="5"/>
  <c r="AF317" i="5"/>
  <c r="AF80" i="5"/>
  <c r="AF170" i="5"/>
  <c r="AF292" i="5"/>
  <c r="AF381" i="5"/>
  <c r="AF456" i="5"/>
  <c r="AF120" i="5"/>
  <c r="AF297" i="5"/>
  <c r="AF410" i="5"/>
  <c r="AF442" i="5"/>
  <c r="AF61" i="5"/>
  <c r="AF138" i="5"/>
  <c r="AF76" i="5"/>
  <c r="AF8" i="5"/>
  <c r="AF273" i="5"/>
  <c r="AF289" i="5"/>
  <c r="AF329" i="5"/>
  <c r="AF457" i="5"/>
  <c r="AF113" i="5"/>
  <c r="AF447" i="5"/>
  <c r="AF524" i="5"/>
  <c r="AF449" i="5"/>
  <c r="AF351" i="5"/>
  <c r="AF185" i="5"/>
  <c r="AF546" i="5"/>
  <c r="AF532" i="5"/>
  <c r="AF264" i="5"/>
  <c r="AF51" i="5"/>
  <c r="AF119" i="5"/>
  <c r="AF253" i="5"/>
  <c r="AF441" i="5"/>
  <c r="AF472" i="5"/>
  <c r="AF166" i="5"/>
  <c r="AF183" i="5"/>
  <c r="AF193" i="5"/>
  <c r="AF118" i="5"/>
  <c r="AF69" i="5"/>
  <c r="AF141" i="5"/>
  <c r="AF72" i="5"/>
  <c r="AF522" i="5"/>
  <c r="AF287" i="5"/>
  <c r="AF379" i="5"/>
  <c r="AP379" i="5" s="1"/>
  <c r="AF206" i="5"/>
  <c r="AF378" i="5"/>
  <c r="AF165" i="5"/>
  <c r="AF414" i="5"/>
  <c r="AF489" i="5"/>
  <c r="AF486" i="5"/>
  <c r="AF405" i="5"/>
  <c r="AF188" i="5"/>
  <c r="AF554" i="5"/>
  <c r="AF464" i="5"/>
  <c r="AF333" i="5"/>
  <c r="AF26" i="5"/>
  <c r="AF200" i="5"/>
  <c r="AF269" i="5"/>
  <c r="AF343" i="5"/>
  <c r="AF43" i="5"/>
  <c r="AF204" i="5"/>
  <c r="AF307" i="5"/>
  <c r="AF315" i="5"/>
  <c r="AF162" i="5"/>
  <c r="AF52" i="5"/>
  <c r="AF154" i="5"/>
  <c r="AF62" i="5"/>
  <c r="AF466" i="5"/>
  <c r="AF196" i="5"/>
  <c r="AF339" i="5"/>
  <c r="AF450" i="5"/>
  <c r="AF422" i="5"/>
  <c r="AF129" i="5"/>
  <c r="AF360" i="5"/>
  <c r="AF401" i="5"/>
  <c r="AF474" i="5"/>
  <c r="AF344" i="5"/>
  <c r="AF110" i="5"/>
  <c r="AF529" i="5"/>
  <c r="AF392" i="5"/>
  <c r="AF244" i="5"/>
  <c r="AF56" i="5"/>
  <c r="AF251" i="5"/>
  <c r="AF323" i="5"/>
  <c r="AF361" i="5"/>
  <c r="AF38" i="5"/>
  <c r="AF232" i="5"/>
  <c r="AF198" i="5"/>
  <c r="AF411" i="5"/>
  <c r="AF163" i="5"/>
  <c r="AF25" i="5"/>
  <c r="AF112" i="5"/>
  <c r="AF22" i="5"/>
  <c r="AI462" i="5"/>
  <c r="AH462" i="5"/>
  <c r="AI338" i="5"/>
  <c r="AH338" i="5"/>
  <c r="AH245" i="5"/>
  <c r="AI245" i="5"/>
  <c r="AI70" i="5"/>
  <c r="AH70" i="5"/>
  <c r="AH486" i="5"/>
  <c r="AI486" i="5"/>
  <c r="AI340" i="5"/>
  <c r="AH340" i="5"/>
  <c r="AH210" i="5"/>
  <c r="AI210" i="5"/>
  <c r="AH78" i="5"/>
  <c r="AI78" i="5"/>
  <c r="AI524" i="5"/>
  <c r="AH524" i="5"/>
  <c r="AI381" i="5"/>
  <c r="AH381" i="5"/>
  <c r="AI205" i="5"/>
  <c r="AH205" i="5"/>
  <c r="AH138" i="5"/>
  <c r="AI138" i="5"/>
  <c r="AH428" i="5"/>
  <c r="AI428" i="5"/>
  <c r="AI418" i="5"/>
  <c r="AH418" i="5"/>
  <c r="AI348" i="5"/>
  <c r="AH348" i="5"/>
  <c r="AH252" i="5"/>
  <c r="AI252" i="5"/>
  <c r="AI45" i="5"/>
  <c r="AH45" i="5"/>
  <c r="AI380" i="5"/>
  <c r="AH380" i="5"/>
  <c r="AH281" i="5"/>
  <c r="AI281" i="5"/>
  <c r="AH233" i="5"/>
  <c r="AI233" i="5"/>
  <c r="AH42" i="5"/>
  <c r="AI42" i="5"/>
  <c r="AN346" i="5"/>
  <c r="AO346" i="5"/>
  <c r="AN173" i="5"/>
  <c r="AO173" i="5"/>
  <c r="AN458" i="5"/>
  <c r="AO458" i="5"/>
  <c r="AN298" i="5"/>
  <c r="AO298" i="5"/>
  <c r="AO484" i="5"/>
  <c r="AN484" i="5"/>
  <c r="AN389" i="5"/>
  <c r="AO389" i="5"/>
  <c r="AN204" i="5"/>
  <c r="AO204" i="5"/>
  <c r="AO493" i="5"/>
  <c r="AN493" i="5"/>
  <c r="AO338" i="5"/>
  <c r="AN338" i="5"/>
  <c r="AN141" i="5"/>
  <c r="AO141" i="5"/>
  <c r="AN394" i="5"/>
  <c r="AO394" i="5"/>
  <c r="AO358" i="5"/>
  <c r="AN358" i="5"/>
  <c r="AO161" i="5"/>
  <c r="AN161" i="5"/>
  <c r="AN110" i="5"/>
  <c r="AO110" i="5"/>
  <c r="AS83" i="4"/>
  <c r="U83" i="4"/>
  <c r="AS90" i="4"/>
  <c r="V90" i="4"/>
  <c r="U90" i="4"/>
  <c r="AS17" i="4"/>
  <c r="U17" i="4"/>
  <c r="V17" i="4"/>
  <c r="V149" i="4"/>
  <c r="V156" i="4"/>
  <c r="AS156" i="4"/>
  <c r="U156" i="4"/>
  <c r="U139" i="4"/>
  <c r="AS139" i="4"/>
  <c r="V139" i="4"/>
  <c r="U146" i="4"/>
  <c r="AS28" i="4"/>
  <c r="U28" i="4"/>
  <c r="V28" i="4"/>
  <c r="AS136" i="4"/>
  <c r="U136" i="4"/>
  <c r="V136" i="4"/>
  <c r="AH525" i="5"/>
  <c r="AI525" i="5"/>
  <c r="AN431" i="5"/>
  <c r="AO431" i="5"/>
  <c r="AN455" i="5"/>
  <c r="AO455" i="5"/>
  <c r="AI495" i="5"/>
  <c r="AH495" i="5"/>
  <c r="AH335" i="5"/>
  <c r="AI335" i="5"/>
  <c r="AJ367" i="5"/>
  <c r="AJ223" i="5"/>
  <c r="U255" i="5"/>
  <c r="V255" i="5"/>
  <c r="AJ303" i="5"/>
  <c r="AI127" i="5"/>
  <c r="AH127" i="5"/>
  <c r="AI159" i="5"/>
  <c r="AH159" i="5"/>
  <c r="AI175" i="5"/>
  <c r="AH175" i="5"/>
  <c r="AI47" i="5"/>
  <c r="AH47" i="5"/>
  <c r="AI87" i="5"/>
  <c r="AH87" i="5"/>
  <c r="AJ111" i="5"/>
  <c r="V179" i="5"/>
  <c r="U179" i="5"/>
  <c r="V197" i="5"/>
  <c r="U148" i="5"/>
  <c r="V148" i="5"/>
  <c r="AJ7" i="5"/>
  <c r="AG7" i="5"/>
  <c r="AM7" i="5"/>
  <c r="T7" i="5"/>
  <c r="Q7" i="5"/>
  <c r="W7" i="5"/>
  <c r="AI432" i="5"/>
  <c r="AH432" i="5"/>
  <c r="AH496" i="5"/>
  <c r="AI496" i="5"/>
  <c r="AI328" i="5"/>
  <c r="AH328" i="5"/>
  <c r="AJ368" i="5"/>
  <c r="AJ416" i="5"/>
  <c r="AJ240" i="5"/>
  <c r="AI280" i="5"/>
  <c r="AH280" i="5"/>
  <c r="AJ144" i="5"/>
  <c r="U200" i="5"/>
  <c r="V200" i="5"/>
  <c r="AJ32" i="5"/>
  <c r="AJ56" i="5"/>
  <c r="AO72" i="5"/>
  <c r="AN72" i="5"/>
  <c r="AH104" i="5"/>
  <c r="V50" i="4"/>
  <c r="V131" i="4"/>
  <c r="AK187" i="5"/>
  <c r="AL187" i="5"/>
  <c r="AO195" i="5"/>
  <c r="AN195" i="5"/>
  <c r="AL521" i="5"/>
  <c r="AH129" i="5"/>
  <c r="AI129" i="5"/>
  <c r="AO235" i="5"/>
  <c r="AN235" i="5"/>
  <c r="AI283" i="5"/>
  <c r="AH283" i="5"/>
  <c r="AK147" i="5"/>
  <c r="AL147" i="5"/>
  <c r="AN41" i="5"/>
  <c r="AO41" i="5"/>
  <c r="AO459" i="5"/>
  <c r="AN459" i="5"/>
  <c r="AH387" i="5"/>
  <c r="AI387" i="5"/>
  <c r="AJ97" i="5"/>
  <c r="AJ459" i="5"/>
  <c r="AJ541" i="5"/>
  <c r="AJ35" i="5"/>
  <c r="AJ99" i="5"/>
  <c r="AJ8" i="5"/>
  <c r="AI434" i="5"/>
  <c r="AH434" i="5"/>
  <c r="AH300" i="5"/>
  <c r="AI300" i="5"/>
  <c r="AI194" i="5"/>
  <c r="AH194" i="5"/>
  <c r="AI58" i="5"/>
  <c r="AH58" i="5"/>
  <c r="AH262" i="5"/>
  <c r="AI262" i="5"/>
  <c r="AI314" i="5"/>
  <c r="AH314" i="5"/>
  <c r="AH69" i="5"/>
  <c r="AI69" i="5"/>
  <c r="AH302" i="5"/>
  <c r="AI302" i="5"/>
  <c r="AI333" i="5"/>
  <c r="AH333" i="5"/>
  <c r="AI238" i="5"/>
  <c r="AH238" i="5"/>
  <c r="AH109" i="5"/>
  <c r="AI109" i="5"/>
  <c r="AI540" i="5"/>
  <c r="AH540" i="5"/>
  <c r="AH405" i="5"/>
  <c r="AI405" i="5"/>
  <c r="AI318" i="5"/>
  <c r="AH318" i="5"/>
  <c r="AI212" i="5"/>
  <c r="AH212" i="5"/>
  <c r="AI544" i="5"/>
  <c r="AH544" i="5"/>
  <c r="AH548" i="5"/>
  <c r="AI548" i="5"/>
  <c r="AI396" i="5"/>
  <c r="AH396" i="5"/>
  <c r="AI237" i="5"/>
  <c r="AH237" i="5"/>
  <c r="AH229" i="5"/>
  <c r="AI229" i="5"/>
  <c r="AH92" i="5"/>
  <c r="AI92" i="5"/>
  <c r="AH38" i="5"/>
  <c r="AI38" i="5"/>
  <c r="AO434" i="5"/>
  <c r="AN434" i="5"/>
  <c r="AO306" i="5"/>
  <c r="AN306" i="5"/>
  <c r="AN122" i="5"/>
  <c r="AO122" i="5"/>
  <c r="AO437" i="5"/>
  <c r="AN437" i="5"/>
  <c r="AO354" i="5"/>
  <c r="AN354" i="5"/>
  <c r="AN26" i="5"/>
  <c r="AO26" i="5"/>
  <c r="AN293" i="5"/>
  <c r="AO293" i="5"/>
  <c r="AN205" i="5"/>
  <c r="AO205" i="5"/>
  <c r="AN514" i="5"/>
  <c r="AN206" i="5"/>
  <c r="AO206" i="5"/>
  <c r="AN149" i="5"/>
  <c r="AO149" i="5"/>
  <c r="AO530" i="5"/>
  <c r="AN530" i="5"/>
  <c r="AN422" i="5"/>
  <c r="AO422" i="5"/>
  <c r="AO332" i="5"/>
  <c r="AN332" i="5"/>
  <c r="AO194" i="5"/>
  <c r="AN194" i="5"/>
  <c r="AO105" i="5"/>
  <c r="AN105" i="5"/>
  <c r="V51" i="4"/>
  <c r="AS51" i="4"/>
  <c r="U51" i="4"/>
  <c r="U58" i="4"/>
  <c r="AS117" i="4"/>
  <c r="V124" i="4"/>
  <c r="AS124" i="4"/>
  <c r="U124" i="4"/>
  <c r="AS107" i="4"/>
  <c r="U107" i="4"/>
  <c r="V107" i="4"/>
  <c r="AS114" i="4"/>
  <c r="U114" i="4"/>
  <c r="V104" i="4"/>
  <c r="AS104" i="4"/>
  <c r="U104" i="4"/>
  <c r="V113" i="4"/>
  <c r="AS113" i="4"/>
  <c r="U113" i="4"/>
  <c r="AO525" i="5"/>
  <c r="AN525" i="5"/>
  <c r="AJ439" i="5"/>
  <c r="AO463" i="5"/>
  <c r="AN463" i="5"/>
  <c r="AN335" i="5"/>
  <c r="AO335" i="5"/>
  <c r="AI223" i="5"/>
  <c r="AH223" i="5"/>
  <c r="AI255" i="5"/>
  <c r="AH255" i="5"/>
  <c r="AJ311" i="5"/>
  <c r="AN159" i="5"/>
  <c r="AO159" i="5"/>
  <c r="AJ183" i="5"/>
  <c r="AH23" i="5"/>
  <c r="AI23" i="5"/>
  <c r="AJ55" i="5"/>
  <c r="AO87" i="5"/>
  <c r="AN87" i="5"/>
  <c r="V278" i="5"/>
  <c r="U62" i="5"/>
  <c r="V209" i="5"/>
  <c r="U116" i="5"/>
  <c r="V116" i="5"/>
  <c r="V29" i="5"/>
  <c r="AO554" i="5"/>
  <c r="AN554" i="5"/>
  <c r="AJ432" i="5"/>
  <c r="AN496" i="5"/>
  <c r="AO496" i="5"/>
  <c r="AJ328" i="5"/>
  <c r="AH368" i="5"/>
  <c r="AJ224" i="5"/>
  <c r="AN256" i="5"/>
  <c r="AO256" i="5"/>
  <c r="AJ280" i="5"/>
  <c r="U120" i="5"/>
  <c r="V120" i="5"/>
  <c r="AJ152" i="5"/>
  <c r="AO176" i="5"/>
  <c r="AN176" i="5"/>
  <c r="AJ200" i="5"/>
  <c r="AJ40" i="5"/>
  <c r="AI56" i="5"/>
  <c r="AJ88" i="5"/>
  <c r="AO112" i="5"/>
  <c r="AN112" i="5"/>
  <c r="AJ217" i="5"/>
  <c r="V114" i="4"/>
  <c r="AI502" i="5" l="1"/>
  <c r="AH481" i="5"/>
  <c r="AP234" i="5"/>
  <c r="AH403" i="5"/>
  <c r="AI478" i="5"/>
  <c r="AH303" i="5"/>
  <c r="AH401" i="5"/>
  <c r="AI242" i="5"/>
  <c r="AH429" i="5"/>
  <c r="AI99" i="5"/>
  <c r="AI208" i="5"/>
  <c r="AH277" i="5"/>
  <c r="AH211" i="5"/>
  <c r="AI291" i="5"/>
  <c r="AI555" i="5"/>
  <c r="AH65" i="5"/>
  <c r="AH326" i="5"/>
  <c r="AH460" i="5"/>
  <c r="AI151" i="5"/>
  <c r="AH297" i="5"/>
  <c r="AI204" i="5"/>
  <c r="AI450" i="5"/>
  <c r="AI343" i="5"/>
  <c r="AI550" i="5"/>
  <c r="AH26" i="5"/>
  <c r="AP147" i="5"/>
  <c r="AI286" i="5"/>
  <c r="AL307" i="5"/>
  <c r="AI259" i="5"/>
  <c r="AI357" i="5"/>
  <c r="AH189" i="5"/>
  <c r="AI439" i="5"/>
  <c r="AH352" i="5"/>
  <c r="AI534" i="5"/>
  <c r="AI35" i="5"/>
  <c r="AP148" i="5"/>
  <c r="AL51" i="5"/>
  <c r="U111" i="5"/>
  <c r="U72" i="5"/>
  <c r="U198" i="5"/>
  <c r="V184" i="5"/>
  <c r="U128" i="5"/>
  <c r="V49" i="5"/>
  <c r="V218" i="5"/>
  <c r="V110" i="5"/>
  <c r="U68" i="5"/>
  <c r="V163" i="5"/>
  <c r="V132" i="5"/>
  <c r="AO8" i="5"/>
  <c r="AL379" i="5"/>
  <c r="AI256" i="5"/>
  <c r="AH407" i="5"/>
  <c r="AP51" i="5"/>
  <c r="AI287" i="5"/>
  <c r="AI307" i="5"/>
  <c r="AL465" i="5"/>
  <c r="AI213" i="5"/>
  <c r="AH341" i="5"/>
  <c r="AI499" i="5"/>
  <c r="AH201" i="5"/>
  <c r="AI50" i="5"/>
  <c r="AP465" i="5"/>
  <c r="AI456" i="5"/>
  <c r="AI279" i="5"/>
  <c r="AH373" i="5"/>
  <c r="AH411" i="5"/>
  <c r="AP307" i="5"/>
  <c r="AI537" i="5"/>
  <c r="AH447" i="5"/>
  <c r="AI30" i="5"/>
  <c r="AL539" i="5"/>
  <c r="AH216" i="5"/>
  <c r="AH334" i="5"/>
  <c r="AK153" i="5"/>
  <c r="AI135" i="5"/>
  <c r="AI220" i="5"/>
  <c r="AH451" i="5"/>
  <c r="AI468" i="5"/>
  <c r="AI275" i="5"/>
  <c r="AH266" i="5"/>
  <c r="AH347" i="5"/>
  <c r="AH123" i="5"/>
  <c r="AO505" i="5"/>
  <c r="AO220" i="5"/>
  <c r="AN137" i="5"/>
  <c r="AO80" i="5"/>
  <c r="AP548" i="5"/>
  <c r="AN497" i="5"/>
  <c r="AI174" i="5"/>
  <c r="AH209" i="5"/>
  <c r="AI427" i="5"/>
  <c r="AN457" i="5"/>
  <c r="AO282" i="5"/>
  <c r="AO520" i="5"/>
  <c r="AI249" i="5"/>
  <c r="AP222" i="5"/>
  <c r="AP133" i="5"/>
  <c r="AQ133" i="5" s="1"/>
  <c r="AO533" i="5"/>
  <c r="AO325" i="5"/>
  <c r="AN43" i="5"/>
  <c r="AP26" i="5"/>
  <c r="AN340" i="5"/>
  <c r="AO29" i="5"/>
  <c r="AO362" i="5"/>
  <c r="AN85" i="5"/>
  <c r="AH420" i="5"/>
  <c r="AO164" i="5"/>
  <c r="AH391" i="5"/>
  <c r="AI75" i="5"/>
  <c r="AP552" i="5"/>
  <c r="AQ552" i="5" s="1"/>
  <c r="AO145" i="5"/>
  <c r="AI417" i="5"/>
  <c r="AP510" i="5"/>
  <c r="AH415" i="5"/>
  <c r="AP383" i="5"/>
  <c r="AK43" i="5"/>
  <c r="AP386" i="5"/>
  <c r="AQ386" i="5" s="1"/>
  <c r="AP437" i="5"/>
  <c r="AQ437" i="5" s="1"/>
  <c r="AN172" i="5"/>
  <c r="AO536" i="5"/>
  <c r="AP169" i="5"/>
  <c r="AN111" i="5"/>
  <c r="AN224" i="5"/>
  <c r="AO163" i="5"/>
  <c r="AN296" i="5"/>
  <c r="AO135" i="5"/>
  <c r="AO92" i="5"/>
  <c r="AP43" i="5"/>
  <c r="AQ43" i="5" s="1"/>
  <c r="AP141" i="5"/>
  <c r="AQ141" i="5" s="1"/>
  <c r="AN421" i="5"/>
  <c r="AN311" i="5"/>
  <c r="AK483" i="5"/>
  <c r="AK169" i="5"/>
  <c r="AN136" i="5"/>
  <c r="AN352" i="5"/>
  <c r="AO343" i="5"/>
  <c r="AN28" i="5"/>
  <c r="AP270" i="5"/>
  <c r="AQ270" i="5" s="1"/>
  <c r="AN289" i="5"/>
  <c r="AO492" i="5"/>
  <c r="AN472" i="5"/>
  <c r="AP281" i="5"/>
  <c r="AR281" i="5" s="1"/>
  <c r="AO70" i="5"/>
  <c r="AP129" i="5"/>
  <c r="AR129" i="5" s="1"/>
  <c r="AP227" i="5"/>
  <c r="AR227" i="5" s="1"/>
  <c r="AN221" i="5"/>
  <c r="AO147" i="5"/>
  <c r="AH177" i="5"/>
  <c r="AH449" i="5"/>
  <c r="AH221" i="5"/>
  <c r="AH539" i="5"/>
  <c r="AH459" i="5"/>
  <c r="AI308" i="5"/>
  <c r="AI187" i="5"/>
  <c r="AI88" i="5"/>
  <c r="AH530" i="5"/>
  <c r="AI289" i="5"/>
  <c r="AI269" i="5"/>
  <c r="AH490" i="5"/>
  <c r="AP313" i="5"/>
  <c r="AQ313" i="5" s="1"/>
  <c r="AH469" i="5"/>
  <c r="AH317" i="5"/>
  <c r="AH155" i="5"/>
  <c r="AI231" i="5"/>
  <c r="AP283" i="5"/>
  <c r="AR283" i="5" s="1"/>
  <c r="AH425" i="5"/>
  <c r="AI445" i="5"/>
  <c r="AH344" i="5"/>
  <c r="AH299" i="5"/>
  <c r="AH130" i="5"/>
  <c r="AK283" i="5"/>
  <c r="AH68" i="5"/>
  <c r="AI68" i="5"/>
  <c r="AP356" i="5"/>
  <c r="AP202" i="5"/>
  <c r="AP540" i="5"/>
  <c r="AI244" i="5"/>
  <c r="AH494" i="5"/>
  <c r="AI226" i="5"/>
  <c r="AI253" i="5"/>
  <c r="AH185" i="5"/>
  <c r="AH122" i="5"/>
  <c r="AI268" i="5"/>
  <c r="AH268" i="5"/>
  <c r="AI282" i="5"/>
  <c r="AH282" i="5"/>
  <c r="AI472" i="5"/>
  <c r="AI514" i="5"/>
  <c r="AH514" i="5"/>
  <c r="AH518" i="5"/>
  <c r="AI518" i="5"/>
  <c r="AN42" i="5"/>
  <c r="AO537" i="5"/>
  <c r="AI298" i="5"/>
  <c r="AH298" i="5"/>
  <c r="AN167" i="5"/>
  <c r="AH207" i="5"/>
  <c r="AI207" i="5"/>
  <c r="AI172" i="5"/>
  <c r="AH503" i="5"/>
  <c r="AI503" i="5"/>
  <c r="AH293" i="5"/>
  <c r="AI293" i="5"/>
  <c r="AI292" i="5"/>
  <c r="AH292" i="5"/>
  <c r="AN369" i="5"/>
  <c r="AP192" i="5"/>
  <c r="AR192" i="5" s="1"/>
  <c r="AP516" i="5"/>
  <c r="AR516" i="5" s="1"/>
  <c r="AH444" i="5"/>
  <c r="AN142" i="5"/>
  <c r="AH441" i="5"/>
  <c r="AO512" i="5"/>
  <c r="AH316" i="5"/>
  <c r="AH339" i="5"/>
  <c r="AI367" i="5"/>
  <c r="AH367" i="5"/>
  <c r="AH560" i="5"/>
  <c r="AI176" i="5"/>
  <c r="AN219" i="5"/>
  <c r="AI295" i="5"/>
  <c r="AH295" i="5"/>
  <c r="AH74" i="5"/>
  <c r="AI74" i="5"/>
  <c r="AN48" i="5"/>
  <c r="AN249" i="5"/>
  <c r="AI73" i="5"/>
  <c r="AI230" i="5"/>
  <c r="AH230" i="5"/>
  <c r="AN312" i="5"/>
  <c r="AO186" i="5"/>
  <c r="AN178" i="5"/>
  <c r="AO210" i="5"/>
  <c r="AH83" i="5"/>
  <c r="AI83" i="5"/>
  <c r="AP109" i="5"/>
  <c r="AI166" i="5"/>
  <c r="AI515" i="5"/>
  <c r="AH515" i="5"/>
  <c r="AI311" i="5"/>
  <c r="AH311" i="5"/>
  <c r="AO38" i="5"/>
  <c r="AO127" i="5"/>
  <c r="AH67" i="5"/>
  <c r="AI67" i="5"/>
  <c r="AH247" i="5"/>
  <c r="AI247" i="5"/>
  <c r="AI349" i="5"/>
  <c r="AI336" i="5"/>
  <c r="AH271" i="5"/>
  <c r="AI271" i="5"/>
  <c r="AH195" i="5"/>
  <c r="AI195" i="5"/>
  <c r="AI435" i="5"/>
  <c r="AH435" i="5"/>
  <c r="AN160" i="5"/>
  <c r="AO109" i="5"/>
  <c r="AN481" i="5"/>
  <c r="AP176" i="5"/>
  <c r="AR176" i="5" s="1"/>
  <c r="AP539" i="5"/>
  <c r="AQ539" i="5" s="1"/>
  <c r="AN355" i="5"/>
  <c r="AI100" i="5"/>
  <c r="AH100" i="5"/>
  <c r="AH125" i="5"/>
  <c r="AI125" i="5"/>
  <c r="AN488" i="5"/>
  <c r="AN475" i="5"/>
  <c r="AN233" i="5"/>
  <c r="AO284" i="5"/>
  <c r="AO27" i="5"/>
  <c r="AO33" i="5"/>
  <c r="AO97" i="5"/>
  <c r="AN385" i="5"/>
  <c r="AN25" i="5"/>
  <c r="AO527" i="5"/>
  <c r="AN265" i="5"/>
  <c r="AO283" i="5"/>
  <c r="AN259" i="5"/>
  <c r="V68" i="4"/>
  <c r="AM68" i="4" s="1"/>
  <c r="AN68" i="4" s="1"/>
  <c r="V64" i="4"/>
  <c r="AM64" i="4" s="1"/>
  <c r="AN64" i="4" s="1"/>
  <c r="U64" i="4"/>
  <c r="AH64" i="4" s="1"/>
  <c r="AS30" i="4"/>
  <c r="U150" i="4"/>
  <c r="V150" i="4"/>
  <c r="W150" i="4" s="1"/>
  <c r="X150" i="4" s="1"/>
  <c r="AS150" i="4"/>
  <c r="V53" i="4"/>
  <c r="AM53" i="4" s="1"/>
  <c r="AN53" i="4" s="1"/>
  <c r="U53" i="4"/>
  <c r="AH53" i="4" s="1"/>
  <c r="U65" i="4"/>
  <c r="AH65" i="4" s="1"/>
  <c r="AS53" i="4"/>
  <c r="AS65" i="4"/>
  <c r="AS68" i="4"/>
  <c r="V65" i="4"/>
  <c r="W65" i="4" s="1"/>
  <c r="Y65" i="4" s="1"/>
  <c r="U144" i="4"/>
  <c r="AH144" i="4" s="1"/>
  <c r="AS144" i="4"/>
  <c r="S526" i="5"/>
  <c r="AO209" i="5"/>
  <c r="AN462" i="5"/>
  <c r="AP371" i="5"/>
  <c r="AR371" i="5" s="1"/>
  <c r="AN240" i="5"/>
  <c r="V219" i="5"/>
  <c r="AN467" i="5"/>
  <c r="AS126" i="4"/>
  <c r="U38" i="4"/>
  <c r="V102" i="4"/>
  <c r="AM102" i="4" s="1"/>
  <c r="AN102" i="4" s="1"/>
  <c r="AO58" i="5"/>
  <c r="AN61" i="5"/>
  <c r="U77" i="5"/>
  <c r="AO132" i="5"/>
  <c r="AO114" i="5"/>
  <c r="AO106" i="5"/>
  <c r="V49" i="4"/>
  <c r="W49" i="4" s="1"/>
  <c r="Y49" i="4" s="1"/>
  <c r="V47" i="4"/>
  <c r="W47" i="4" s="1"/>
  <c r="AO433" i="5"/>
  <c r="U71" i="4"/>
  <c r="AH71" i="4" s="1"/>
  <c r="V91" i="4"/>
  <c r="AM91" i="4" s="1"/>
  <c r="AN91" i="4" s="1"/>
  <c r="V127" i="4"/>
  <c r="AM127" i="4" s="1"/>
  <c r="AN127" i="4" s="1"/>
  <c r="AS38" i="4"/>
  <c r="U141" i="4"/>
  <c r="AH141" i="4" s="1"/>
  <c r="U73" i="4"/>
  <c r="AH73" i="4" s="1"/>
  <c r="V29" i="4"/>
  <c r="AM29" i="4" s="1"/>
  <c r="AN29" i="4" s="1"/>
  <c r="AL371" i="5"/>
  <c r="AN81" i="5"/>
  <c r="AS97" i="4"/>
  <c r="U49" i="4"/>
  <c r="AH49" i="4" s="1"/>
  <c r="U86" i="5"/>
  <c r="AS47" i="4"/>
  <c r="AS71" i="4"/>
  <c r="AS111" i="4"/>
  <c r="U70" i="4"/>
  <c r="AH70" i="4" s="1"/>
  <c r="U127" i="4"/>
  <c r="AH127" i="4" s="1"/>
  <c r="V38" i="4"/>
  <c r="AM38" i="4" s="1"/>
  <c r="AN38" i="4" s="1"/>
  <c r="V136" i="5"/>
  <c r="AO491" i="5"/>
  <c r="AS11" i="4"/>
  <c r="V182" i="5"/>
  <c r="U29" i="4"/>
  <c r="AH29" i="4" s="1"/>
  <c r="AO24" i="5"/>
  <c r="AN384" i="5"/>
  <c r="AN444" i="5"/>
  <c r="AO447" i="5"/>
  <c r="AS49" i="4"/>
  <c r="V116" i="4"/>
  <c r="W116" i="4" s="1"/>
  <c r="V111" i="4"/>
  <c r="AN140" i="5"/>
  <c r="U100" i="4"/>
  <c r="AH100" i="4" s="1"/>
  <c r="AN267" i="5"/>
  <c r="AO555" i="5"/>
  <c r="V18" i="4"/>
  <c r="AM18" i="4" s="1"/>
  <c r="AN18" i="4" s="1"/>
  <c r="V97" i="4"/>
  <c r="W97" i="4" s="1"/>
  <c r="Y97" i="4" s="1"/>
  <c r="AS29" i="4"/>
  <c r="AO550" i="5"/>
  <c r="AP166" i="5"/>
  <c r="AP65" i="5"/>
  <c r="AQ65" i="5" s="1"/>
  <c r="U55" i="4"/>
  <c r="AH55" i="4" s="1"/>
  <c r="AN396" i="5"/>
  <c r="U97" i="4"/>
  <c r="AH97" i="4" s="1"/>
  <c r="V167" i="5"/>
  <c r="AN412" i="5"/>
  <c r="AO450" i="5"/>
  <c r="U116" i="4"/>
  <c r="AH116" i="4" s="1"/>
  <c r="U30" i="4"/>
  <c r="AH30" i="4" s="1"/>
  <c r="U111" i="4"/>
  <c r="AH111" i="4" s="1"/>
  <c r="AS100" i="4"/>
  <c r="AO504" i="5"/>
  <c r="AN65" i="5"/>
  <c r="AO49" i="5"/>
  <c r="AN557" i="5"/>
  <c r="Y365" i="5"/>
  <c r="U76" i="4"/>
  <c r="AH76" i="4" s="1"/>
  <c r="AP491" i="5"/>
  <c r="AR491" i="5" s="1"/>
  <c r="AS55" i="4"/>
  <c r="AO116" i="5"/>
  <c r="V103" i="5"/>
  <c r="AS60" i="4"/>
  <c r="AN397" i="5"/>
  <c r="AS116" i="4"/>
  <c r="V86" i="4"/>
  <c r="AM86" i="4" s="1"/>
  <c r="AN86" i="4" s="1"/>
  <c r="V100" i="4"/>
  <c r="AM100" i="4" s="1"/>
  <c r="AN100" i="4" s="1"/>
  <c r="AS70" i="4"/>
  <c r="U10" i="4"/>
  <c r="AH10" i="4" s="1"/>
  <c r="AS76" i="4"/>
  <c r="V55" i="4"/>
  <c r="AM55" i="4" s="1"/>
  <c r="AN55" i="4" s="1"/>
  <c r="V11" i="4"/>
  <c r="V60" i="4"/>
  <c r="AM60" i="4" s="1"/>
  <c r="AN60" i="4" s="1"/>
  <c r="U68" i="4"/>
  <c r="AH68" i="4" s="1"/>
  <c r="V126" i="4"/>
  <c r="W126" i="4" s="1"/>
  <c r="X126" i="4" s="1"/>
  <c r="AJ126" i="4" s="1"/>
  <c r="U86" i="4"/>
  <c r="AH86" i="4" s="1"/>
  <c r="V30" i="4"/>
  <c r="AM30" i="4" s="1"/>
  <c r="AN30" i="4" s="1"/>
  <c r="V70" i="4"/>
  <c r="W70" i="4" s="1"/>
  <c r="Y70" i="4" s="1"/>
  <c r="Z70" i="4" s="1"/>
  <c r="U102" i="4"/>
  <c r="AH102" i="4" s="1"/>
  <c r="AO225" i="5"/>
  <c r="AP273" i="5"/>
  <c r="V23" i="5"/>
  <c r="AS25" i="4"/>
  <c r="V104" i="5"/>
  <c r="AO432" i="5"/>
  <c r="U48" i="4"/>
  <c r="AH48" i="4" s="1"/>
  <c r="AO252" i="5"/>
  <c r="AO264" i="5"/>
  <c r="V106" i="4"/>
  <c r="W106" i="4" s="1"/>
  <c r="Y106" i="4" s="1"/>
  <c r="V46" i="5"/>
  <c r="AN199" i="5"/>
  <c r="AO56" i="5"/>
  <c r="AN406" i="5"/>
  <c r="AS52" i="4"/>
  <c r="AO212" i="5"/>
  <c r="AO88" i="5"/>
  <c r="V146" i="4"/>
  <c r="W146" i="4" s="1"/>
  <c r="Y146" i="4" s="1"/>
  <c r="Z146" i="4" s="1"/>
  <c r="AP25" i="5"/>
  <c r="AR25" i="5" s="1"/>
  <c r="AP287" i="5"/>
  <c r="AR287" i="5" s="1"/>
  <c r="AP410" i="5"/>
  <c r="AP135" i="5"/>
  <c r="AQ135" i="5" s="1"/>
  <c r="AP380" i="5"/>
  <c r="AQ380" i="5" s="1"/>
  <c r="AP153" i="5"/>
  <c r="AR153" i="5" s="1"/>
  <c r="AS48" i="4"/>
  <c r="U106" i="4"/>
  <c r="AH106" i="4" s="1"/>
  <c r="AS31" i="4"/>
  <c r="AO371" i="5"/>
  <c r="AN363" i="5"/>
  <c r="AP225" i="5"/>
  <c r="AO239" i="5"/>
  <c r="AN420" i="5"/>
  <c r="V60" i="5"/>
  <c r="V48" i="5"/>
  <c r="V147" i="5"/>
  <c r="V75" i="4"/>
  <c r="AM75" i="4" s="1"/>
  <c r="AN75" i="4" s="1"/>
  <c r="U95" i="4"/>
  <c r="AH95" i="4" s="1"/>
  <c r="AS146" i="4"/>
  <c r="AP105" i="5"/>
  <c r="AQ105" i="5" s="1"/>
  <c r="V234" i="5"/>
  <c r="AP214" i="5"/>
  <c r="AR214" i="5" s="1"/>
  <c r="AP527" i="5"/>
  <c r="AR527" i="5" s="1"/>
  <c r="AP199" i="5"/>
  <c r="AQ199" i="5" s="1"/>
  <c r="AP250" i="5"/>
  <c r="AR250" i="5" s="1"/>
  <c r="AS110" i="4"/>
  <c r="U75" i="4"/>
  <c r="AH75" i="4" s="1"/>
  <c r="AS95" i="4"/>
  <c r="AO415" i="5"/>
  <c r="AN415" i="5"/>
  <c r="V74" i="4"/>
  <c r="W74" i="4" s="1"/>
  <c r="Y74" i="4" s="1"/>
  <c r="U25" i="4"/>
  <c r="AH25" i="4" s="1"/>
  <c r="V110" i="4"/>
  <c r="W110" i="4" s="1"/>
  <c r="Y110" i="4" s="1"/>
  <c r="AL225" i="5"/>
  <c r="AO451" i="5"/>
  <c r="AN451" i="5"/>
  <c r="AS7" i="4"/>
  <c r="V118" i="4"/>
  <c r="AM118" i="4" s="1"/>
  <c r="AO331" i="5"/>
  <c r="AN331" i="5"/>
  <c r="AI388" i="5"/>
  <c r="AH388" i="5"/>
  <c r="AH331" i="5"/>
  <c r="AI331" i="5"/>
  <c r="AH52" i="5"/>
  <c r="AI52" i="5"/>
  <c r="AH263" i="5"/>
  <c r="AI263" i="5"/>
  <c r="AN51" i="5"/>
  <c r="AO51" i="5"/>
  <c r="AP556" i="5"/>
  <c r="AP58" i="5"/>
  <c r="AR58" i="5" s="1"/>
  <c r="AP175" i="5"/>
  <c r="AP130" i="5"/>
  <c r="AQ130" i="5" s="1"/>
  <c r="V25" i="4"/>
  <c r="W25" i="4" s="1"/>
  <c r="Y25" i="4" s="1"/>
  <c r="Z25" i="4" s="1"/>
  <c r="AF25" i="4" s="1"/>
  <c r="U257" i="5"/>
  <c r="AS75" i="4"/>
  <c r="V63" i="4"/>
  <c r="AM63" i="4" s="1"/>
  <c r="AN63" i="4" s="1"/>
  <c r="S480" i="5"/>
  <c r="V35" i="4"/>
  <c r="AM35" i="4" s="1"/>
  <c r="AN35" i="4" s="1"/>
  <c r="V76" i="4"/>
  <c r="AM76" i="4" s="1"/>
  <c r="AN76" i="4" s="1"/>
  <c r="AI399" i="5"/>
  <c r="AH399" i="5"/>
  <c r="AH329" i="5"/>
  <c r="AI329" i="5"/>
  <c r="AO499" i="5"/>
  <c r="AN499" i="5"/>
  <c r="AP333" i="5"/>
  <c r="U63" i="4"/>
  <c r="AH63" i="4" s="1"/>
  <c r="AS35" i="4"/>
  <c r="V9" i="4"/>
  <c r="AM9" i="4" s="1"/>
  <c r="AN9" i="4" s="1"/>
  <c r="AI369" i="5"/>
  <c r="AH369" i="5"/>
  <c r="AI241" i="5"/>
  <c r="AH241" i="5"/>
  <c r="AH431" i="5"/>
  <c r="AI431" i="5"/>
  <c r="AN427" i="5"/>
  <c r="AO427" i="5"/>
  <c r="AN539" i="5"/>
  <c r="AO539" i="5"/>
  <c r="AP354" i="5"/>
  <c r="AQ354" i="5" s="1"/>
  <c r="AP450" i="5"/>
  <c r="AQ450" i="5" s="1"/>
  <c r="AP324" i="5"/>
  <c r="AR324" i="5" s="1"/>
  <c r="U35" i="4"/>
  <c r="AH35" i="4" s="1"/>
  <c r="AS63" i="4"/>
  <c r="U12" i="4"/>
  <c r="AH12" i="4" s="1"/>
  <c r="U9" i="4"/>
  <c r="AH9" i="4" s="1"/>
  <c r="AO305" i="5"/>
  <c r="AH53" i="5"/>
  <c r="AI53" i="5"/>
  <c r="AI95" i="5"/>
  <c r="AH95" i="5"/>
  <c r="AI191" i="5"/>
  <c r="AH191" i="5"/>
  <c r="AN73" i="5"/>
  <c r="AO73" i="5"/>
  <c r="AP432" i="5"/>
  <c r="AR432" i="5" s="1"/>
  <c r="AP69" i="5"/>
  <c r="AQ69" i="5" s="1"/>
  <c r="AP390" i="5"/>
  <c r="AQ390" i="5" s="1"/>
  <c r="AP178" i="5"/>
  <c r="AR178" i="5" s="1"/>
  <c r="AP355" i="5"/>
  <c r="AQ355" i="5" s="1"/>
  <c r="AP217" i="5"/>
  <c r="AP290" i="5"/>
  <c r="AQ290" i="5" s="1"/>
  <c r="AP365" i="5"/>
  <c r="AQ365" i="5" s="1"/>
  <c r="AP396" i="5"/>
  <c r="AR396" i="5" s="1"/>
  <c r="AP314" i="5"/>
  <c r="AQ314" i="5" s="1"/>
  <c r="AP301" i="5"/>
  <c r="AQ301" i="5" s="1"/>
  <c r="AP528" i="5"/>
  <c r="AQ528" i="5" s="1"/>
  <c r="AP173" i="5"/>
  <c r="AR173" i="5" s="1"/>
  <c r="U74" i="4"/>
  <c r="AH74" i="4" s="1"/>
  <c r="AS106" i="4"/>
  <c r="V31" i="4"/>
  <c r="AM31" i="4" s="1"/>
  <c r="AN31" i="4" s="1"/>
  <c r="U110" i="4"/>
  <c r="AP348" i="5"/>
  <c r="AP387" i="5"/>
  <c r="AR387" i="5" s="1"/>
  <c r="AK105" i="5"/>
  <c r="V123" i="4"/>
  <c r="AM123" i="4" s="1"/>
  <c r="AN123" i="4" s="1"/>
  <c r="R554" i="5"/>
  <c r="AS12" i="4"/>
  <c r="AS9" i="4"/>
  <c r="U84" i="4"/>
  <c r="AH84" i="4" s="1"/>
  <c r="AI543" i="5"/>
  <c r="AH543" i="5"/>
  <c r="AH150" i="5"/>
  <c r="AI150" i="5"/>
  <c r="AI43" i="5"/>
  <c r="AH43" i="5"/>
  <c r="AN313" i="5"/>
  <c r="AO313" i="5"/>
  <c r="AO108" i="5"/>
  <c r="AN108" i="5"/>
  <c r="AP494" i="5"/>
  <c r="AR494" i="5" s="1"/>
  <c r="AP520" i="5"/>
  <c r="AQ520" i="5" s="1"/>
  <c r="AP48" i="5"/>
  <c r="AR48" i="5" s="1"/>
  <c r="AP267" i="5"/>
  <c r="AQ267" i="5" s="1"/>
  <c r="AP338" i="5"/>
  <c r="AQ338" i="5" s="1"/>
  <c r="AP332" i="5"/>
  <c r="AQ332" i="5" s="1"/>
  <c r="AP157" i="5"/>
  <c r="AQ157" i="5" s="1"/>
  <c r="AP304" i="5"/>
  <c r="AQ304" i="5" s="1"/>
  <c r="V48" i="4"/>
  <c r="AM48" i="4" s="1"/>
  <c r="AN48" i="4" s="1"/>
  <c r="AS74" i="4"/>
  <c r="U31" i="4"/>
  <c r="AH31" i="4" s="1"/>
  <c r="AP434" i="5"/>
  <c r="AQ434" i="5" s="1"/>
  <c r="U7" i="4"/>
  <c r="AH7" i="4" s="1"/>
  <c r="U123" i="4"/>
  <c r="AH123" i="4" s="1"/>
  <c r="V52" i="4"/>
  <c r="W52" i="4" s="1"/>
  <c r="AN273" i="5"/>
  <c r="AO416" i="5"/>
  <c r="AH325" i="5"/>
  <c r="AI325" i="5"/>
  <c r="AI541" i="5"/>
  <c r="AH541" i="5"/>
  <c r="AP405" i="5"/>
  <c r="AQ405" i="5" s="1"/>
  <c r="AP212" i="5"/>
  <c r="AP461" i="5"/>
  <c r="AQ461" i="5" s="1"/>
  <c r="V7" i="4"/>
  <c r="AM7" i="4" s="1"/>
  <c r="AN7" i="4" s="1"/>
  <c r="AS123" i="4"/>
  <c r="U52" i="4"/>
  <c r="AH52" i="4" s="1"/>
  <c r="V95" i="4"/>
  <c r="AM95" i="4" s="1"/>
  <c r="AN95" i="4" s="1"/>
  <c r="AH430" i="5"/>
  <c r="AI430" i="5"/>
  <c r="AI342" i="5"/>
  <c r="AH342" i="5"/>
  <c r="AN171" i="5"/>
  <c r="AO171" i="5"/>
  <c r="B24" i="2"/>
  <c r="R88" i="5"/>
  <c r="R328" i="5"/>
  <c r="Y65" i="5"/>
  <c r="Y135" i="5"/>
  <c r="Y181" i="5"/>
  <c r="Y416" i="5"/>
  <c r="X206" i="5"/>
  <c r="X204" i="5"/>
  <c r="X74" i="5"/>
  <c r="Z560" i="5"/>
  <c r="AA560" i="5" s="1"/>
  <c r="Z552" i="5"/>
  <c r="AB552" i="5" s="1"/>
  <c r="Z544" i="5"/>
  <c r="AB544" i="5" s="1"/>
  <c r="Z536" i="5"/>
  <c r="Z528" i="5"/>
  <c r="Z520" i="5"/>
  <c r="AB520" i="5" s="1"/>
  <c r="Z512" i="5"/>
  <c r="Z504" i="5"/>
  <c r="AB504" i="5" s="1"/>
  <c r="Z496" i="5"/>
  <c r="Z488" i="5"/>
  <c r="AB488" i="5" s="1"/>
  <c r="Z480" i="5"/>
  <c r="AB480" i="5" s="1"/>
  <c r="Z472" i="5"/>
  <c r="AA472" i="5" s="1"/>
  <c r="Z464" i="5"/>
  <c r="AA464" i="5" s="1"/>
  <c r="Z456" i="5"/>
  <c r="AA456" i="5" s="1"/>
  <c r="Z448" i="5"/>
  <c r="AA448" i="5" s="1"/>
  <c r="Z440" i="5"/>
  <c r="Z432" i="5"/>
  <c r="Z424" i="5"/>
  <c r="AB424" i="5" s="1"/>
  <c r="Z416" i="5"/>
  <c r="AA416" i="5" s="1"/>
  <c r="Z408" i="5"/>
  <c r="AB408" i="5" s="1"/>
  <c r="Z400" i="5"/>
  <c r="AA400" i="5" s="1"/>
  <c r="Z392" i="5"/>
  <c r="AB392" i="5" s="1"/>
  <c r="Z384" i="5"/>
  <c r="AA384" i="5" s="1"/>
  <c r="Z376" i="5"/>
  <c r="AB376" i="5" s="1"/>
  <c r="Z368" i="5"/>
  <c r="AA368" i="5" s="1"/>
  <c r="Z360" i="5"/>
  <c r="AA360" i="5" s="1"/>
  <c r="Z352" i="5"/>
  <c r="AB352" i="5" s="1"/>
  <c r="Z344" i="5"/>
  <c r="Z336" i="5"/>
  <c r="AB336" i="5" s="1"/>
  <c r="Z328" i="5"/>
  <c r="AB328" i="5" s="1"/>
  <c r="Z320" i="5"/>
  <c r="AA320" i="5" s="1"/>
  <c r="Z312" i="5"/>
  <c r="AA312" i="5" s="1"/>
  <c r="Z304" i="5"/>
  <c r="AB304" i="5" s="1"/>
  <c r="Z296" i="5"/>
  <c r="AB296" i="5" s="1"/>
  <c r="Z288" i="5"/>
  <c r="AA288" i="5" s="1"/>
  <c r="Z280" i="5"/>
  <c r="Z272" i="5"/>
  <c r="AA272" i="5" s="1"/>
  <c r="Z264" i="5"/>
  <c r="Z256" i="5"/>
  <c r="AB256" i="5" s="1"/>
  <c r="Z248" i="5"/>
  <c r="Z240" i="5"/>
  <c r="Z232" i="5"/>
  <c r="Z224" i="5"/>
  <c r="AB224" i="5" s="1"/>
  <c r="Z216" i="5"/>
  <c r="Z208" i="5"/>
  <c r="AA208" i="5" s="1"/>
  <c r="Z200" i="5"/>
  <c r="Z192" i="5"/>
  <c r="AB192" i="5" s="1"/>
  <c r="Z184" i="5"/>
  <c r="Z176" i="5"/>
  <c r="AB176" i="5" s="1"/>
  <c r="Z168" i="5"/>
  <c r="AB168" i="5" s="1"/>
  <c r="Z160" i="5"/>
  <c r="AB160" i="5" s="1"/>
  <c r="Z152" i="5"/>
  <c r="AB152" i="5" s="1"/>
  <c r="Z144" i="5"/>
  <c r="AA144" i="5" s="1"/>
  <c r="Z136" i="5"/>
  <c r="Z128" i="5"/>
  <c r="AA128" i="5" s="1"/>
  <c r="Z112" i="5"/>
  <c r="AA112" i="5" s="1"/>
  <c r="Z96" i="5"/>
  <c r="AA96" i="5" s="1"/>
  <c r="Z80" i="5"/>
  <c r="AA80" i="5" s="1"/>
  <c r="Z56" i="5"/>
  <c r="AB56" i="5" s="1"/>
  <c r="Z34" i="5"/>
  <c r="AA34" i="5" s="1"/>
  <c r="Z29" i="5"/>
  <c r="AB29" i="5" s="1"/>
  <c r="Z559" i="5"/>
  <c r="Z551" i="5"/>
  <c r="AB551" i="5" s="1"/>
  <c r="Z543" i="5"/>
  <c r="AB543" i="5" s="1"/>
  <c r="Z535" i="5"/>
  <c r="AA535" i="5" s="1"/>
  <c r="Z527" i="5"/>
  <c r="AA527" i="5" s="1"/>
  <c r="Z519" i="5"/>
  <c r="AB519" i="5" s="1"/>
  <c r="Z511" i="5"/>
  <c r="AA511" i="5" s="1"/>
  <c r="Z503" i="5"/>
  <c r="AB503" i="5" s="1"/>
  <c r="Z495" i="5"/>
  <c r="AB495" i="5" s="1"/>
  <c r="Z487" i="5"/>
  <c r="AA487" i="5" s="1"/>
  <c r="Z479" i="5"/>
  <c r="Z471" i="5"/>
  <c r="AA471" i="5" s="1"/>
  <c r="Z463" i="5"/>
  <c r="AA463" i="5" s="1"/>
  <c r="Z455" i="5"/>
  <c r="AB455" i="5" s="1"/>
  <c r="Z447" i="5"/>
  <c r="AA447" i="5" s="1"/>
  <c r="Z439" i="5"/>
  <c r="AA439" i="5" s="1"/>
  <c r="Z431" i="5"/>
  <c r="AA431" i="5" s="1"/>
  <c r="Z423" i="5"/>
  <c r="AB423" i="5" s="1"/>
  <c r="Z415" i="5"/>
  <c r="AB415" i="5" s="1"/>
  <c r="Z407" i="5"/>
  <c r="AB407" i="5" s="1"/>
  <c r="Z399" i="5"/>
  <c r="Z391" i="5"/>
  <c r="AB391" i="5" s="1"/>
  <c r="Z383" i="5"/>
  <c r="AB383" i="5" s="1"/>
  <c r="Z375" i="5"/>
  <c r="AB375" i="5" s="1"/>
  <c r="Z367" i="5"/>
  <c r="AA367" i="5" s="1"/>
  <c r="Z359" i="5"/>
  <c r="AA359" i="5" s="1"/>
  <c r="Z351" i="5"/>
  <c r="AA351" i="5" s="1"/>
  <c r="Z343" i="5"/>
  <c r="AB343" i="5" s="1"/>
  <c r="Z335" i="5"/>
  <c r="AA335" i="5" s="1"/>
  <c r="Z327" i="5"/>
  <c r="AA327" i="5" s="1"/>
  <c r="Z319" i="5"/>
  <c r="AB319" i="5" s="1"/>
  <c r="Z311" i="5"/>
  <c r="AB311" i="5" s="1"/>
  <c r="Z303" i="5"/>
  <c r="AB303" i="5" s="1"/>
  <c r="Z295" i="5"/>
  <c r="Z287" i="5"/>
  <c r="AA287" i="5" s="1"/>
  <c r="Z279" i="5"/>
  <c r="Z271" i="5"/>
  <c r="AA271" i="5" s="1"/>
  <c r="Z263" i="5"/>
  <c r="AB263" i="5" s="1"/>
  <c r="Z255" i="5"/>
  <c r="AA255" i="5" s="1"/>
  <c r="Z247" i="5"/>
  <c r="AA247" i="5" s="1"/>
  <c r="Z239" i="5"/>
  <c r="AB239" i="5" s="1"/>
  <c r="Z231" i="5"/>
  <c r="AB231" i="5" s="1"/>
  <c r="Z223" i="5"/>
  <c r="AB223" i="5" s="1"/>
  <c r="Z215" i="5"/>
  <c r="AA215" i="5" s="1"/>
  <c r="Z207" i="5"/>
  <c r="AB207" i="5" s="1"/>
  <c r="Z199" i="5"/>
  <c r="AB199" i="5" s="1"/>
  <c r="Z191" i="5"/>
  <c r="AA191" i="5" s="1"/>
  <c r="Z183" i="5"/>
  <c r="Z175" i="5"/>
  <c r="AB175" i="5" s="1"/>
  <c r="Z167" i="5"/>
  <c r="AB167" i="5" s="1"/>
  <c r="Z159" i="5"/>
  <c r="AA159" i="5" s="1"/>
  <c r="Z151" i="5"/>
  <c r="AA151" i="5" s="1"/>
  <c r="Z143" i="5"/>
  <c r="AA143" i="5" s="1"/>
  <c r="Z135" i="5"/>
  <c r="AA135" i="5" s="1"/>
  <c r="Z127" i="5"/>
  <c r="Z119" i="5"/>
  <c r="AB119" i="5" s="1"/>
  <c r="Z111" i="5"/>
  <c r="AB111" i="5" s="1"/>
  <c r="Z103" i="5"/>
  <c r="AA103" i="5" s="1"/>
  <c r="Z95" i="5"/>
  <c r="AB95" i="5" s="1"/>
  <c r="Z87" i="5"/>
  <c r="AB87" i="5" s="1"/>
  <c r="Z79" i="5"/>
  <c r="AB79" i="5" s="1"/>
  <c r="Z71" i="5"/>
  <c r="AA71" i="5" s="1"/>
  <c r="Z63" i="5"/>
  <c r="AB63" i="5" s="1"/>
  <c r="Z55" i="5"/>
  <c r="AB55" i="5" s="1"/>
  <c r="Z47" i="5"/>
  <c r="AB47" i="5" s="1"/>
  <c r="Z39" i="5"/>
  <c r="AA39" i="5" s="1"/>
  <c r="Z33" i="5"/>
  <c r="Z25" i="5"/>
  <c r="AA25" i="5" s="1"/>
  <c r="Z12" i="5"/>
  <c r="Z166" i="5"/>
  <c r="AA166" i="5" s="1"/>
  <c r="Z150" i="5"/>
  <c r="AA150" i="5" s="1"/>
  <c r="Z134" i="5"/>
  <c r="Z118" i="5"/>
  <c r="AB118" i="5" s="1"/>
  <c r="Z102" i="5"/>
  <c r="Z78" i="5"/>
  <c r="Z62" i="5"/>
  <c r="AB62" i="5" s="1"/>
  <c r="Z54" i="5"/>
  <c r="AA54" i="5" s="1"/>
  <c r="Z32" i="5"/>
  <c r="AB32" i="5" s="1"/>
  <c r="Z10" i="5"/>
  <c r="AB10" i="5" s="1"/>
  <c r="Z131" i="5"/>
  <c r="AA131" i="5" s="1"/>
  <c r="Z91" i="5"/>
  <c r="AA91" i="5" s="1"/>
  <c r="Z43" i="5"/>
  <c r="AB43" i="5" s="1"/>
  <c r="Z558" i="5"/>
  <c r="Z550" i="5"/>
  <c r="AB550" i="5" s="1"/>
  <c r="Z542" i="5"/>
  <c r="AA542" i="5" s="1"/>
  <c r="Z534" i="5"/>
  <c r="Z526" i="5"/>
  <c r="AA526" i="5" s="1"/>
  <c r="Z518" i="5"/>
  <c r="AB518" i="5" s="1"/>
  <c r="Z510" i="5"/>
  <c r="AB510" i="5" s="1"/>
  <c r="Z502" i="5"/>
  <c r="AB502" i="5" s="1"/>
  <c r="Z494" i="5"/>
  <c r="AB494" i="5" s="1"/>
  <c r="Z486" i="5"/>
  <c r="AB486" i="5" s="1"/>
  <c r="Z478" i="5"/>
  <c r="AB478" i="5" s="1"/>
  <c r="Z470" i="5"/>
  <c r="AB470" i="5" s="1"/>
  <c r="Z462" i="5"/>
  <c r="AB462" i="5" s="1"/>
  <c r="Z454" i="5"/>
  <c r="AB454" i="5" s="1"/>
  <c r="Z446" i="5"/>
  <c r="Z438" i="5"/>
  <c r="AB438" i="5" s="1"/>
  <c r="Z430" i="5"/>
  <c r="AA430" i="5" s="1"/>
  <c r="Z422" i="5"/>
  <c r="AB422" i="5" s="1"/>
  <c r="Z414" i="5"/>
  <c r="AB414" i="5" s="1"/>
  <c r="Z406" i="5"/>
  <c r="AA406" i="5" s="1"/>
  <c r="Z398" i="5"/>
  <c r="Z390" i="5"/>
  <c r="AA390" i="5" s="1"/>
  <c r="Z382" i="5"/>
  <c r="AB382" i="5" s="1"/>
  <c r="Z374" i="5"/>
  <c r="AB374" i="5" s="1"/>
  <c r="Z366" i="5"/>
  <c r="AA366" i="5" s="1"/>
  <c r="Z358" i="5"/>
  <c r="AB358" i="5" s="1"/>
  <c r="Z350" i="5"/>
  <c r="AA350" i="5" s="1"/>
  <c r="Z342" i="5"/>
  <c r="Z334" i="5"/>
  <c r="AB334" i="5" s="1"/>
  <c r="Z326" i="5"/>
  <c r="AA326" i="5" s="1"/>
  <c r="Z318" i="5"/>
  <c r="AB318" i="5" s="1"/>
  <c r="Z310" i="5"/>
  <c r="Z302" i="5"/>
  <c r="AA302" i="5" s="1"/>
  <c r="Z294" i="5"/>
  <c r="AB294" i="5" s="1"/>
  <c r="Z286" i="5"/>
  <c r="AB286" i="5" s="1"/>
  <c r="Z278" i="5"/>
  <c r="AA278" i="5" s="1"/>
  <c r="Z270" i="5"/>
  <c r="AA270" i="5" s="1"/>
  <c r="Z262" i="5"/>
  <c r="AA262" i="5" s="1"/>
  <c r="Z254" i="5"/>
  <c r="AA254" i="5" s="1"/>
  <c r="Z246" i="5"/>
  <c r="AA246" i="5" s="1"/>
  <c r="Z238" i="5"/>
  <c r="Z230" i="5"/>
  <c r="AA230" i="5" s="1"/>
  <c r="Z222" i="5"/>
  <c r="AB222" i="5" s="1"/>
  <c r="Z214" i="5"/>
  <c r="AA214" i="5" s="1"/>
  <c r="Z206" i="5"/>
  <c r="AA206" i="5" s="1"/>
  <c r="Z198" i="5"/>
  <c r="Z190" i="5"/>
  <c r="AB190" i="5" s="1"/>
  <c r="Z182" i="5"/>
  <c r="Z174" i="5"/>
  <c r="AA174" i="5" s="1"/>
  <c r="Z158" i="5"/>
  <c r="Z142" i="5"/>
  <c r="AB142" i="5" s="1"/>
  <c r="Z126" i="5"/>
  <c r="Z110" i="5"/>
  <c r="AA110" i="5" s="1"/>
  <c r="Z94" i="5"/>
  <c r="AA94" i="5" s="1"/>
  <c r="Z86" i="5"/>
  <c r="AA86" i="5" s="1"/>
  <c r="Z70" i="5"/>
  <c r="AB70" i="5" s="1"/>
  <c r="Z46" i="5"/>
  <c r="Z38" i="5"/>
  <c r="AA38" i="5" s="1"/>
  <c r="Z24" i="5"/>
  <c r="Z147" i="5"/>
  <c r="Z107" i="5"/>
  <c r="AB107" i="5" s="1"/>
  <c r="Z67" i="5"/>
  <c r="Z7" i="5"/>
  <c r="AB7" i="5" s="1"/>
  <c r="Z557" i="5"/>
  <c r="AA557" i="5" s="1"/>
  <c r="Z549" i="5"/>
  <c r="AB549" i="5" s="1"/>
  <c r="Z541" i="5"/>
  <c r="Z533" i="5"/>
  <c r="AA533" i="5" s="1"/>
  <c r="Z525" i="5"/>
  <c r="AA525" i="5" s="1"/>
  <c r="Z517" i="5"/>
  <c r="AB517" i="5" s="1"/>
  <c r="Z509" i="5"/>
  <c r="AA509" i="5" s="1"/>
  <c r="Z501" i="5"/>
  <c r="AB501" i="5" s="1"/>
  <c r="Z493" i="5"/>
  <c r="AA493" i="5" s="1"/>
  <c r="Z485" i="5"/>
  <c r="AA485" i="5" s="1"/>
  <c r="Z477" i="5"/>
  <c r="AA477" i="5" s="1"/>
  <c r="Z469" i="5"/>
  <c r="AA469" i="5" s="1"/>
  <c r="Z461" i="5"/>
  <c r="AB461" i="5" s="1"/>
  <c r="Z453" i="5"/>
  <c r="AA453" i="5" s="1"/>
  <c r="Z445" i="5"/>
  <c r="AB445" i="5" s="1"/>
  <c r="Z437" i="5"/>
  <c r="AA437" i="5" s="1"/>
  <c r="Z429" i="5"/>
  <c r="AA429" i="5" s="1"/>
  <c r="Z421" i="5"/>
  <c r="AA421" i="5" s="1"/>
  <c r="Z413" i="5"/>
  <c r="AA413" i="5" s="1"/>
  <c r="Z405" i="5"/>
  <c r="AB405" i="5" s="1"/>
  <c r="Z397" i="5"/>
  <c r="AB397" i="5" s="1"/>
  <c r="Z389" i="5"/>
  <c r="AA389" i="5" s="1"/>
  <c r="Z381" i="5"/>
  <c r="Z373" i="5"/>
  <c r="AB373" i="5" s="1"/>
  <c r="Z365" i="5"/>
  <c r="Z357" i="5"/>
  <c r="AA357" i="5" s="1"/>
  <c r="Z349" i="5"/>
  <c r="Z341" i="5"/>
  <c r="AA341" i="5" s="1"/>
  <c r="Z333" i="5"/>
  <c r="AB333" i="5" s="1"/>
  <c r="Z325" i="5"/>
  <c r="Z317" i="5"/>
  <c r="AB317" i="5" s="1"/>
  <c r="Z309" i="5"/>
  <c r="AA309" i="5" s="1"/>
  <c r="Z301" i="5"/>
  <c r="AA301" i="5" s="1"/>
  <c r="Z293" i="5"/>
  <c r="AA293" i="5" s="1"/>
  <c r="Z285" i="5"/>
  <c r="Z277" i="5"/>
  <c r="AB277" i="5" s="1"/>
  <c r="Z269" i="5"/>
  <c r="AB269" i="5" s="1"/>
  <c r="Z261" i="5"/>
  <c r="AA261" i="5" s="1"/>
  <c r="Z253" i="5"/>
  <c r="Z245" i="5"/>
  <c r="Z237" i="5"/>
  <c r="Z229" i="5"/>
  <c r="Z221" i="5"/>
  <c r="AB221" i="5" s="1"/>
  <c r="Z213" i="5"/>
  <c r="AB213" i="5" s="1"/>
  <c r="Z205" i="5"/>
  <c r="AB205" i="5" s="1"/>
  <c r="Z197" i="5"/>
  <c r="Z189" i="5"/>
  <c r="AA189" i="5" s="1"/>
  <c r="Z181" i="5"/>
  <c r="AA181" i="5" s="1"/>
  <c r="Z173" i="5"/>
  <c r="Z165" i="5"/>
  <c r="AA165" i="5" s="1"/>
  <c r="Z157" i="5"/>
  <c r="AB157" i="5" s="1"/>
  <c r="Z149" i="5"/>
  <c r="AB149" i="5" s="1"/>
  <c r="Z141" i="5"/>
  <c r="Z133" i="5"/>
  <c r="AA133" i="5" s="1"/>
  <c r="Z125" i="5"/>
  <c r="AB125" i="5" s="1"/>
  <c r="Z117" i="5"/>
  <c r="AA117" i="5" s="1"/>
  <c r="Z109" i="5"/>
  <c r="AA109" i="5" s="1"/>
  <c r="Z101" i="5"/>
  <c r="AA101" i="5" s="1"/>
  <c r="Z93" i="5"/>
  <c r="AA93" i="5" s="1"/>
  <c r="Z85" i="5"/>
  <c r="AA85" i="5" s="1"/>
  <c r="Z77" i="5"/>
  <c r="AA77" i="5" s="1"/>
  <c r="Z69" i="5"/>
  <c r="AB69" i="5" s="1"/>
  <c r="Z61" i="5"/>
  <c r="AA61" i="5" s="1"/>
  <c r="Z53" i="5"/>
  <c r="AB53" i="5" s="1"/>
  <c r="Z45" i="5"/>
  <c r="Z37" i="5"/>
  <c r="AA37" i="5" s="1"/>
  <c r="Z31" i="5"/>
  <c r="AA31" i="5" s="1"/>
  <c r="Z23" i="5"/>
  <c r="AB23" i="5" s="1"/>
  <c r="Z148" i="5"/>
  <c r="AB148" i="5" s="1"/>
  <c r="Z132" i="5"/>
  <c r="AA132" i="5" s="1"/>
  <c r="Z124" i="5"/>
  <c r="AA124" i="5" s="1"/>
  <c r="Z108" i="5"/>
  <c r="AB108" i="5" s="1"/>
  <c r="Z92" i="5"/>
  <c r="AA92" i="5" s="1"/>
  <c r="Z84" i="5"/>
  <c r="AB84" i="5" s="1"/>
  <c r="Z68" i="5"/>
  <c r="Z52" i="5"/>
  <c r="AB52" i="5" s="1"/>
  <c r="Z36" i="5"/>
  <c r="AB36" i="5" s="1"/>
  <c r="Z22" i="5"/>
  <c r="Z171" i="5"/>
  <c r="AA171" i="5" s="1"/>
  <c r="Z139" i="5"/>
  <c r="AA139" i="5" s="1"/>
  <c r="Z123" i="5"/>
  <c r="AA123" i="5" s="1"/>
  <c r="Z83" i="5"/>
  <c r="AA83" i="5" s="1"/>
  <c r="Z51" i="5"/>
  <c r="AA51" i="5" s="1"/>
  <c r="Z556" i="5"/>
  <c r="Z548" i="5"/>
  <c r="AB548" i="5" s="1"/>
  <c r="Z540" i="5"/>
  <c r="AB540" i="5" s="1"/>
  <c r="Z532" i="5"/>
  <c r="AA532" i="5" s="1"/>
  <c r="Z524" i="5"/>
  <c r="AA524" i="5" s="1"/>
  <c r="Z516" i="5"/>
  <c r="AB516" i="5" s="1"/>
  <c r="Z508" i="5"/>
  <c r="Z500" i="5"/>
  <c r="Z492" i="5"/>
  <c r="AB492" i="5" s="1"/>
  <c r="Z484" i="5"/>
  <c r="AB484" i="5" s="1"/>
  <c r="Z476" i="5"/>
  <c r="Z468" i="5"/>
  <c r="AB468" i="5" s="1"/>
  <c r="Z460" i="5"/>
  <c r="AA460" i="5" s="1"/>
  <c r="Z452" i="5"/>
  <c r="AA452" i="5" s="1"/>
  <c r="Z444" i="5"/>
  <c r="AB444" i="5" s="1"/>
  <c r="Z436" i="5"/>
  <c r="AA436" i="5" s="1"/>
  <c r="Z428" i="5"/>
  <c r="AB428" i="5" s="1"/>
  <c r="Z420" i="5"/>
  <c r="AB420" i="5" s="1"/>
  <c r="Z412" i="5"/>
  <c r="AA412" i="5" s="1"/>
  <c r="Z404" i="5"/>
  <c r="AB404" i="5" s="1"/>
  <c r="Z396" i="5"/>
  <c r="AA396" i="5" s="1"/>
  <c r="Z388" i="5"/>
  <c r="AA388" i="5" s="1"/>
  <c r="Z380" i="5"/>
  <c r="AA380" i="5" s="1"/>
  <c r="Z372" i="5"/>
  <c r="AB372" i="5" s="1"/>
  <c r="Z364" i="5"/>
  <c r="AB364" i="5" s="1"/>
  <c r="Z356" i="5"/>
  <c r="AA356" i="5" s="1"/>
  <c r="Z348" i="5"/>
  <c r="AA348" i="5" s="1"/>
  <c r="Z340" i="5"/>
  <c r="AB340" i="5" s="1"/>
  <c r="Z332" i="5"/>
  <c r="AA332" i="5" s="1"/>
  <c r="Z324" i="5"/>
  <c r="AB324" i="5" s="1"/>
  <c r="Z316" i="5"/>
  <c r="AA316" i="5" s="1"/>
  <c r="Z308" i="5"/>
  <c r="Z300" i="5"/>
  <c r="Z292" i="5"/>
  <c r="AA292" i="5" s="1"/>
  <c r="Z284" i="5"/>
  <c r="AB284" i="5" s="1"/>
  <c r="Z276" i="5"/>
  <c r="AB276" i="5" s="1"/>
  <c r="Z268" i="5"/>
  <c r="AA268" i="5" s="1"/>
  <c r="Z260" i="5"/>
  <c r="AB260" i="5" s="1"/>
  <c r="Z252" i="5"/>
  <c r="AB252" i="5" s="1"/>
  <c r="Z244" i="5"/>
  <c r="AB244" i="5" s="1"/>
  <c r="Z236" i="5"/>
  <c r="AB236" i="5" s="1"/>
  <c r="Z228" i="5"/>
  <c r="AA228" i="5" s="1"/>
  <c r="Z220" i="5"/>
  <c r="AA220" i="5" s="1"/>
  <c r="Z212" i="5"/>
  <c r="AB212" i="5" s="1"/>
  <c r="Z204" i="5"/>
  <c r="Z196" i="5"/>
  <c r="AA196" i="5" s="1"/>
  <c r="Z188" i="5"/>
  <c r="AB188" i="5" s="1"/>
  <c r="Z180" i="5"/>
  <c r="AB180" i="5" s="1"/>
  <c r="Z172" i="5"/>
  <c r="AB172" i="5" s="1"/>
  <c r="Z164" i="5"/>
  <c r="AB164" i="5" s="1"/>
  <c r="Z156" i="5"/>
  <c r="AA156" i="5" s="1"/>
  <c r="Z140" i="5"/>
  <c r="AB140" i="5" s="1"/>
  <c r="Z116" i="5"/>
  <c r="AB116" i="5" s="1"/>
  <c r="Z100" i="5"/>
  <c r="AB100" i="5" s="1"/>
  <c r="Z76" i="5"/>
  <c r="AA76" i="5" s="1"/>
  <c r="Z60" i="5"/>
  <c r="AB60" i="5" s="1"/>
  <c r="Z44" i="5"/>
  <c r="Z30" i="5"/>
  <c r="AA30" i="5" s="1"/>
  <c r="Z8" i="5"/>
  <c r="AA8" i="5" s="1"/>
  <c r="Z155" i="5"/>
  <c r="AB155" i="5" s="1"/>
  <c r="Z99" i="5"/>
  <c r="Z59" i="5"/>
  <c r="AB59" i="5" s="1"/>
  <c r="Z555" i="5"/>
  <c r="Z547" i="5"/>
  <c r="AB547" i="5" s="1"/>
  <c r="Z539" i="5"/>
  <c r="AB539" i="5" s="1"/>
  <c r="Z531" i="5"/>
  <c r="AB531" i="5" s="1"/>
  <c r="Z523" i="5"/>
  <c r="AB523" i="5" s="1"/>
  <c r="Z515" i="5"/>
  <c r="AB515" i="5" s="1"/>
  <c r="Z507" i="5"/>
  <c r="AA507" i="5" s="1"/>
  <c r="Z499" i="5"/>
  <c r="AB499" i="5" s="1"/>
  <c r="Z491" i="5"/>
  <c r="AA491" i="5" s="1"/>
  <c r="Z483" i="5"/>
  <c r="Z475" i="5"/>
  <c r="AB475" i="5" s="1"/>
  <c r="Z467" i="5"/>
  <c r="AB467" i="5" s="1"/>
  <c r="Z459" i="5"/>
  <c r="AA459" i="5" s="1"/>
  <c r="Z451" i="5"/>
  <c r="Z443" i="5"/>
  <c r="AA443" i="5" s="1"/>
  <c r="Z435" i="5"/>
  <c r="AB435" i="5" s="1"/>
  <c r="Z427" i="5"/>
  <c r="Z419" i="5"/>
  <c r="AA419" i="5" s="1"/>
  <c r="Z411" i="5"/>
  <c r="AA411" i="5" s="1"/>
  <c r="Z403" i="5"/>
  <c r="AA403" i="5" s="1"/>
  <c r="Z395" i="5"/>
  <c r="Z387" i="5"/>
  <c r="AB387" i="5" s="1"/>
  <c r="Z379" i="5"/>
  <c r="AA379" i="5" s="1"/>
  <c r="Z371" i="5"/>
  <c r="AA371" i="5" s="1"/>
  <c r="Z363" i="5"/>
  <c r="AB363" i="5" s="1"/>
  <c r="Z355" i="5"/>
  <c r="AB355" i="5" s="1"/>
  <c r="Z347" i="5"/>
  <c r="AA347" i="5" s="1"/>
  <c r="Z339" i="5"/>
  <c r="Z331" i="5"/>
  <c r="AA331" i="5" s="1"/>
  <c r="Z323" i="5"/>
  <c r="Z315" i="5"/>
  <c r="AB315" i="5" s="1"/>
  <c r="Z307" i="5"/>
  <c r="AA307" i="5" s="1"/>
  <c r="Z299" i="5"/>
  <c r="AA299" i="5" s="1"/>
  <c r="Z291" i="5"/>
  <c r="AA291" i="5" s="1"/>
  <c r="Z283" i="5"/>
  <c r="AB283" i="5" s="1"/>
  <c r="Z275" i="5"/>
  <c r="AB275" i="5" s="1"/>
  <c r="Z267" i="5"/>
  <c r="AB267" i="5" s="1"/>
  <c r="Z259" i="5"/>
  <c r="AA259" i="5" s="1"/>
  <c r="Z251" i="5"/>
  <c r="AB251" i="5" s="1"/>
  <c r="Z243" i="5"/>
  <c r="AB243" i="5" s="1"/>
  <c r="Z235" i="5"/>
  <c r="AA235" i="5" s="1"/>
  <c r="Z227" i="5"/>
  <c r="AB227" i="5" s="1"/>
  <c r="Z219" i="5"/>
  <c r="AA219" i="5" s="1"/>
  <c r="Z211" i="5"/>
  <c r="AA211" i="5" s="1"/>
  <c r="Z203" i="5"/>
  <c r="AA203" i="5" s="1"/>
  <c r="Z195" i="5"/>
  <c r="AA195" i="5" s="1"/>
  <c r="Z187" i="5"/>
  <c r="AB187" i="5" s="1"/>
  <c r="Z179" i="5"/>
  <c r="AA179" i="5" s="1"/>
  <c r="Z163" i="5"/>
  <c r="AA163" i="5" s="1"/>
  <c r="Z115" i="5"/>
  <c r="Z75" i="5"/>
  <c r="Z554" i="5"/>
  <c r="AA554" i="5" s="1"/>
  <c r="Z546" i="5"/>
  <c r="AA546" i="5" s="1"/>
  <c r="Z538" i="5"/>
  <c r="AB538" i="5" s="1"/>
  <c r="Z530" i="5"/>
  <c r="Z522" i="5"/>
  <c r="AA522" i="5" s="1"/>
  <c r="Z514" i="5"/>
  <c r="AB514" i="5" s="1"/>
  <c r="Z506" i="5"/>
  <c r="AB506" i="5" s="1"/>
  <c r="Z498" i="5"/>
  <c r="AA498" i="5" s="1"/>
  <c r="Z490" i="5"/>
  <c r="AB490" i="5" s="1"/>
  <c r="Z482" i="5"/>
  <c r="Z474" i="5"/>
  <c r="AA474" i="5" s="1"/>
  <c r="Z466" i="5"/>
  <c r="Z458" i="5"/>
  <c r="AA458" i="5" s="1"/>
  <c r="Z450" i="5"/>
  <c r="Z442" i="5"/>
  <c r="AB442" i="5" s="1"/>
  <c r="Z434" i="5"/>
  <c r="Z426" i="5"/>
  <c r="AA426" i="5" s="1"/>
  <c r="Z418" i="5"/>
  <c r="AB418" i="5" s="1"/>
  <c r="Z410" i="5"/>
  <c r="AB410" i="5" s="1"/>
  <c r="Z402" i="5"/>
  <c r="AB402" i="5" s="1"/>
  <c r="Z394" i="5"/>
  <c r="AB394" i="5" s="1"/>
  <c r="Z386" i="5"/>
  <c r="AA386" i="5" s="1"/>
  <c r="Z378" i="5"/>
  <c r="Z370" i="5"/>
  <c r="AA370" i="5" s="1"/>
  <c r="Z362" i="5"/>
  <c r="AA362" i="5" s="1"/>
  <c r="Z354" i="5"/>
  <c r="AA354" i="5" s="1"/>
  <c r="Z346" i="5"/>
  <c r="AB346" i="5" s="1"/>
  <c r="Z338" i="5"/>
  <c r="AB338" i="5" s="1"/>
  <c r="Z330" i="5"/>
  <c r="AB330" i="5" s="1"/>
  <c r="Z322" i="5"/>
  <c r="AA322" i="5" s="1"/>
  <c r="Z314" i="5"/>
  <c r="AB314" i="5" s="1"/>
  <c r="Z306" i="5"/>
  <c r="AB306" i="5" s="1"/>
  <c r="Z298" i="5"/>
  <c r="AA298" i="5" s="1"/>
  <c r="Z290" i="5"/>
  <c r="AB290" i="5" s="1"/>
  <c r="Z282" i="5"/>
  <c r="AB282" i="5" s="1"/>
  <c r="Z274" i="5"/>
  <c r="AA274" i="5" s="1"/>
  <c r="Z266" i="5"/>
  <c r="Z258" i="5"/>
  <c r="AB258" i="5" s="1"/>
  <c r="Z250" i="5"/>
  <c r="AB250" i="5" s="1"/>
  <c r="Z242" i="5"/>
  <c r="AA242" i="5" s="1"/>
  <c r="Z234" i="5"/>
  <c r="Z226" i="5"/>
  <c r="AA226" i="5" s="1"/>
  <c r="Z218" i="5"/>
  <c r="Z210" i="5"/>
  <c r="Z202" i="5"/>
  <c r="AA202" i="5" s="1"/>
  <c r="Z194" i="5"/>
  <c r="AB194" i="5" s="1"/>
  <c r="Z186" i="5"/>
  <c r="Z178" i="5"/>
  <c r="Z170" i="5"/>
  <c r="AB170" i="5" s="1"/>
  <c r="Z162" i="5"/>
  <c r="AB162" i="5" s="1"/>
  <c r="Z154" i="5"/>
  <c r="AA154" i="5" s="1"/>
  <c r="Z146" i="5"/>
  <c r="AB146" i="5" s="1"/>
  <c r="Z138" i="5"/>
  <c r="AB138" i="5" s="1"/>
  <c r="Z130" i="5"/>
  <c r="AA130" i="5" s="1"/>
  <c r="Z122" i="5"/>
  <c r="Z114" i="5"/>
  <c r="AB114" i="5" s="1"/>
  <c r="Z106" i="5"/>
  <c r="AB106" i="5" s="1"/>
  <c r="Z98" i="5"/>
  <c r="AA98" i="5" s="1"/>
  <c r="Z90" i="5"/>
  <c r="AB90" i="5" s="1"/>
  <c r="Z82" i="5"/>
  <c r="AB82" i="5" s="1"/>
  <c r="Z74" i="5"/>
  <c r="AA74" i="5" s="1"/>
  <c r="Z66" i="5"/>
  <c r="AB66" i="5" s="1"/>
  <c r="Z58" i="5"/>
  <c r="Z50" i="5"/>
  <c r="AB50" i="5" s="1"/>
  <c r="Z42" i="5"/>
  <c r="AA42" i="5" s="1"/>
  <c r="Z35" i="5"/>
  <c r="Z28" i="5"/>
  <c r="AB28" i="5" s="1"/>
  <c r="Z20" i="5"/>
  <c r="Z121" i="5"/>
  <c r="AA121" i="5" s="1"/>
  <c r="Z105" i="5"/>
  <c r="AA105" i="5" s="1"/>
  <c r="Z89" i="5"/>
  <c r="AB89" i="5" s="1"/>
  <c r="Z73" i="5"/>
  <c r="Z57" i="5"/>
  <c r="AB57" i="5" s="1"/>
  <c r="Z41" i="5"/>
  <c r="AA41" i="5" s="1"/>
  <c r="Z27" i="5"/>
  <c r="AB27" i="5" s="1"/>
  <c r="Z19" i="5"/>
  <c r="AA19" i="5" s="1"/>
  <c r="Z120" i="5"/>
  <c r="AA120" i="5" s="1"/>
  <c r="Z104" i="5"/>
  <c r="AB104" i="5" s="1"/>
  <c r="Z88" i="5"/>
  <c r="AA88" i="5" s="1"/>
  <c r="Z64" i="5"/>
  <c r="AB64" i="5" s="1"/>
  <c r="Z40" i="5"/>
  <c r="AA40" i="5" s="1"/>
  <c r="Z13" i="5"/>
  <c r="Z553" i="5"/>
  <c r="AB553" i="5" s="1"/>
  <c r="Z545" i="5"/>
  <c r="AA545" i="5" s="1"/>
  <c r="Z537" i="5"/>
  <c r="AA537" i="5" s="1"/>
  <c r="Z529" i="5"/>
  <c r="AA529" i="5" s="1"/>
  <c r="Z521" i="5"/>
  <c r="AA521" i="5" s="1"/>
  <c r="Z513" i="5"/>
  <c r="AA513" i="5" s="1"/>
  <c r="Z505" i="5"/>
  <c r="Z497" i="5"/>
  <c r="AB497" i="5" s="1"/>
  <c r="Z489" i="5"/>
  <c r="AB489" i="5" s="1"/>
  <c r="Z481" i="5"/>
  <c r="Z473" i="5"/>
  <c r="AA473" i="5" s="1"/>
  <c r="Z465" i="5"/>
  <c r="Z457" i="5"/>
  <c r="AB457" i="5" s="1"/>
  <c r="Z449" i="5"/>
  <c r="AA449" i="5" s="1"/>
  <c r="Z441" i="5"/>
  <c r="AB441" i="5" s="1"/>
  <c r="Z433" i="5"/>
  <c r="Z425" i="5"/>
  <c r="AA425" i="5" s="1"/>
  <c r="Z417" i="5"/>
  <c r="AA417" i="5" s="1"/>
  <c r="Z409" i="5"/>
  <c r="AB409" i="5" s="1"/>
  <c r="Z401" i="5"/>
  <c r="AA401" i="5" s="1"/>
  <c r="Z393" i="5"/>
  <c r="AA393" i="5" s="1"/>
  <c r="Z385" i="5"/>
  <c r="AB385" i="5" s="1"/>
  <c r="Z377" i="5"/>
  <c r="Z369" i="5"/>
  <c r="AB369" i="5" s="1"/>
  <c r="Z361" i="5"/>
  <c r="AB361" i="5" s="1"/>
  <c r="Z353" i="5"/>
  <c r="Z345" i="5"/>
  <c r="Z337" i="5"/>
  <c r="AB337" i="5" s="1"/>
  <c r="Z329" i="5"/>
  <c r="AB329" i="5" s="1"/>
  <c r="Z321" i="5"/>
  <c r="AB321" i="5" s="1"/>
  <c r="Z313" i="5"/>
  <c r="AB313" i="5" s="1"/>
  <c r="Z305" i="5"/>
  <c r="AB305" i="5" s="1"/>
  <c r="Z297" i="5"/>
  <c r="AB297" i="5" s="1"/>
  <c r="Z289" i="5"/>
  <c r="AB289" i="5" s="1"/>
  <c r="Z281" i="5"/>
  <c r="AB281" i="5" s="1"/>
  <c r="Z273" i="5"/>
  <c r="AB273" i="5" s="1"/>
  <c r="Z265" i="5"/>
  <c r="AB265" i="5" s="1"/>
  <c r="Z257" i="5"/>
  <c r="Z249" i="5"/>
  <c r="AA249" i="5" s="1"/>
  <c r="Z241" i="5"/>
  <c r="AB241" i="5" s="1"/>
  <c r="Z233" i="5"/>
  <c r="AA233" i="5" s="1"/>
  <c r="Z225" i="5"/>
  <c r="AB225" i="5" s="1"/>
  <c r="Z217" i="5"/>
  <c r="AA217" i="5" s="1"/>
  <c r="Z209" i="5"/>
  <c r="AA209" i="5" s="1"/>
  <c r="Z201" i="5"/>
  <c r="AB201" i="5" s="1"/>
  <c r="Z193" i="5"/>
  <c r="AB193" i="5" s="1"/>
  <c r="Z185" i="5"/>
  <c r="AB185" i="5" s="1"/>
  <c r="Z177" i="5"/>
  <c r="AB177" i="5" s="1"/>
  <c r="Z169" i="5"/>
  <c r="AA169" i="5" s="1"/>
  <c r="Z161" i="5"/>
  <c r="AA161" i="5" s="1"/>
  <c r="Z153" i="5"/>
  <c r="AB153" i="5" s="1"/>
  <c r="Z145" i="5"/>
  <c r="Z137" i="5"/>
  <c r="AB137" i="5" s="1"/>
  <c r="Z129" i="5"/>
  <c r="AB129" i="5" s="1"/>
  <c r="Z113" i="5"/>
  <c r="Z97" i="5"/>
  <c r="AB97" i="5" s="1"/>
  <c r="Z81" i="5"/>
  <c r="Z65" i="5"/>
  <c r="Z49" i="5"/>
  <c r="AA49" i="5" s="1"/>
  <c r="Z72" i="5"/>
  <c r="AB72" i="5" s="1"/>
  <c r="Z48" i="5"/>
  <c r="AB48" i="5" s="1"/>
  <c r="Z26" i="5"/>
  <c r="AB26" i="5" s="1"/>
  <c r="Z21" i="5"/>
  <c r="AJ9" i="5"/>
  <c r="AK9" i="5" s="1"/>
  <c r="Z9" i="5"/>
  <c r="S240" i="5"/>
  <c r="R312" i="5"/>
  <c r="T11" i="5"/>
  <c r="U11" i="5" s="1"/>
  <c r="Z11" i="5"/>
  <c r="AB11" i="5" s="1"/>
  <c r="R320" i="5"/>
  <c r="S128" i="5"/>
  <c r="U45" i="5"/>
  <c r="AP38" i="5"/>
  <c r="AP110" i="5"/>
  <c r="AR110" i="5" s="1"/>
  <c r="AP47" i="5"/>
  <c r="AR47" i="5" s="1"/>
  <c r="AP92" i="5"/>
  <c r="AQ92" i="5" s="1"/>
  <c r="AP64" i="5"/>
  <c r="AR64" i="5" s="1"/>
  <c r="V97" i="5"/>
  <c r="AP340" i="5"/>
  <c r="AR340" i="5" s="1"/>
  <c r="R472" i="5"/>
  <c r="V534" i="5"/>
  <c r="Y184" i="5"/>
  <c r="AP189" i="5"/>
  <c r="AQ189" i="5" s="1"/>
  <c r="V145" i="5"/>
  <c r="V54" i="5"/>
  <c r="AP238" i="5"/>
  <c r="AQ238" i="5" s="1"/>
  <c r="AP42" i="5"/>
  <c r="AR42" i="5" s="1"/>
  <c r="AP506" i="5"/>
  <c r="AQ506" i="5" s="1"/>
  <c r="U143" i="5"/>
  <c r="S224" i="5"/>
  <c r="Y179" i="5"/>
  <c r="Y326" i="5"/>
  <c r="AP112" i="5"/>
  <c r="AR112" i="5" s="1"/>
  <c r="AP497" i="5"/>
  <c r="AR497" i="5" s="1"/>
  <c r="AP276" i="5"/>
  <c r="AR276" i="5" s="1"/>
  <c r="AP146" i="5"/>
  <c r="AQ146" i="5" s="1"/>
  <c r="V99" i="5"/>
  <c r="AL227" i="5"/>
  <c r="S136" i="5"/>
  <c r="R216" i="5"/>
  <c r="R232" i="5"/>
  <c r="Y289" i="5"/>
  <c r="Y51" i="5"/>
  <c r="AP252" i="5"/>
  <c r="AR252" i="5" s="1"/>
  <c r="AP159" i="5"/>
  <c r="AQ159" i="5" s="1"/>
  <c r="AP406" i="5"/>
  <c r="AQ406" i="5" s="1"/>
  <c r="V21" i="5"/>
  <c r="X553" i="5"/>
  <c r="Y554" i="5"/>
  <c r="X465" i="5"/>
  <c r="AN64" i="5"/>
  <c r="Y260" i="5"/>
  <c r="X274" i="5"/>
  <c r="AP119" i="5"/>
  <c r="AR119" i="5" s="1"/>
  <c r="AP346" i="5"/>
  <c r="AR346" i="5" s="1"/>
  <c r="AP182" i="5"/>
  <c r="AQ182" i="5" s="1"/>
  <c r="V102" i="5"/>
  <c r="AP72" i="5"/>
  <c r="AQ72" i="5" s="1"/>
  <c r="AP54" i="5"/>
  <c r="AR54" i="5" s="1"/>
  <c r="Y448" i="5"/>
  <c r="R280" i="5"/>
  <c r="R152" i="5"/>
  <c r="Y301" i="5"/>
  <c r="Y458" i="5"/>
  <c r="P487" i="5"/>
  <c r="S112" i="5"/>
  <c r="S208" i="5"/>
  <c r="S64" i="5"/>
  <c r="K28" i="2"/>
  <c r="K27" i="2"/>
  <c r="AP486" i="5"/>
  <c r="AR486" i="5" s="1"/>
  <c r="AP359" i="5"/>
  <c r="AQ359" i="5" s="1"/>
  <c r="AP470" i="5"/>
  <c r="AQ470" i="5" s="1"/>
  <c r="AP245" i="5"/>
  <c r="AR245" i="5" s="1"/>
  <c r="AP418" i="5"/>
  <c r="AQ418" i="5" s="1"/>
  <c r="AP258" i="5"/>
  <c r="AQ258" i="5" s="1"/>
  <c r="AP233" i="5"/>
  <c r="AQ233" i="5" s="1"/>
  <c r="AP476" i="5"/>
  <c r="AR476" i="5" s="1"/>
  <c r="AP536" i="5"/>
  <c r="AR536" i="5" s="1"/>
  <c r="AP560" i="5"/>
  <c r="AQ560" i="5" s="1"/>
  <c r="AP485" i="5"/>
  <c r="AQ485" i="5" s="1"/>
  <c r="AP335" i="5"/>
  <c r="AR335" i="5" s="1"/>
  <c r="AP398" i="5"/>
  <c r="AR398" i="5" s="1"/>
  <c r="N31" i="2"/>
  <c r="AP284" i="5"/>
  <c r="AQ284" i="5" s="1"/>
  <c r="AP24" i="5"/>
  <c r="AR24" i="5" s="1"/>
  <c r="AP306" i="5"/>
  <c r="AR306" i="5" s="1"/>
  <c r="B50" i="5"/>
  <c r="M31" i="2"/>
  <c r="AP512" i="5"/>
  <c r="AQ512" i="5" s="1"/>
  <c r="B153" i="2"/>
  <c r="H39" i="1" s="1"/>
  <c r="L31" i="2"/>
  <c r="AP364" i="5"/>
  <c r="AQ364" i="5" s="1"/>
  <c r="AK451" i="5"/>
  <c r="AP300" i="5"/>
  <c r="AQ300" i="5" s="1"/>
  <c r="M35" i="2"/>
  <c r="N35" i="2" s="1"/>
  <c r="AP492" i="5"/>
  <c r="AQ492" i="5" s="1"/>
  <c r="AP557" i="5"/>
  <c r="AQ557" i="5" s="1"/>
  <c r="AP451" i="5"/>
  <c r="AQ451" i="5" s="1"/>
  <c r="X96" i="5"/>
  <c r="X129" i="5"/>
  <c r="Y437" i="5"/>
  <c r="Y320" i="5"/>
  <c r="X319" i="5"/>
  <c r="R392" i="5"/>
  <c r="X156" i="5"/>
  <c r="X276" i="5"/>
  <c r="X399" i="5"/>
  <c r="Y342" i="5"/>
  <c r="S416" i="5"/>
  <c r="R432" i="5"/>
  <c r="Y35" i="5"/>
  <c r="X432" i="5"/>
  <c r="X451" i="5"/>
  <c r="Y28" i="5"/>
  <c r="X100" i="5"/>
  <c r="X394" i="5"/>
  <c r="Y286" i="5"/>
  <c r="R80" i="5"/>
  <c r="X491" i="5"/>
  <c r="S304" i="5"/>
  <c r="S8" i="5"/>
  <c r="Y211" i="5"/>
  <c r="Y69" i="5"/>
  <c r="X240" i="5"/>
  <c r="X355" i="5"/>
  <c r="Y214" i="5"/>
  <c r="X215" i="5"/>
  <c r="X412" i="5"/>
  <c r="Y126" i="5"/>
  <c r="Y517" i="5"/>
  <c r="X310" i="5"/>
  <c r="R488" i="5"/>
  <c r="S104" i="5"/>
  <c r="S344" i="5"/>
  <c r="R464" i="5"/>
  <c r="R32" i="5"/>
  <c r="R40" i="5"/>
  <c r="R456" i="5"/>
  <c r="R424" i="5"/>
  <c r="R168" i="5"/>
  <c r="X218" i="5"/>
  <c r="X259" i="5"/>
  <c r="X192" i="5"/>
  <c r="X52" i="5"/>
  <c r="X525" i="5"/>
  <c r="Y45" i="5"/>
  <c r="X434" i="5"/>
  <c r="Y531" i="5"/>
  <c r="Y55" i="5"/>
  <c r="Y158" i="5"/>
  <c r="X426" i="5"/>
  <c r="Y314" i="5"/>
  <c r="X95" i="5"/>
  <c r="X43" i="5"/>
  <c r="X518" i="5"/>
  <c r="Y264" i="5"/>
  <c r="S448" i="5"/>
  <c r="Y83" i="5"/>
  <c r="X313" i="5"/>
  <c r="Y389" i="5"/>
  <c r="Y383" i="5"/>
  <c r="R512" i="5"/>
  <c r="Y415" i="5"/>
  <c r="Y120" i="5"/>
  <c r="Y219" i="5"/>
  <c r="X128" i="5"/>
  <c r="X334" i="5"/>
  <c r="X117" i="5"/>
  <c r="X329" i="5"/>
  <c r="X155" i="5"/>
  <c r="X278" i="5"/>
  <c r="Y277" i="5"/>
  <c r="Y106" i="5"/>
  <c r="X533" i="5"/>
  <c r="R256" i="5"/>
  <c r="Y378" i="5"/>
  <c r="X302" i="5"/>
  <c r="V117" i="4"/>
  <c r="W117" i="4" s="1"/>
  <c r="Y117" i="4" s="1"/>
  <c r="AS26" i="4"/>
  <c r="U117" i="4"/>
  <c r="AH117" i="4" s="1"/>
  <c r="U115" i="4"/>
  <c r="AH115" i="4" s="1"/>
  <c r="AS87" i="4"/>
  <c r="AS37" i="4"/>
  <c r="U125" i="4"/>
  <c r="AH125" i="4" s="1"/>
  <c r="AS57" i="4"/>
  <c r="V46" i="4"/>
  <c r="AM46" i="4" s="1"/>
  <c r="AN46" i="4" s="1"/>
  <c r="AS115" i="4"/>
  <c r="V37" i="4"/>
  <c r="AM37" i="4" s="1"/>
  <c r="AN37" i="4" s="1"/>
  <c r="V61" i="4"/>
  <c r="AM61" i="4" s="1"/>
  <c r="AN61" i="4" s="1"/>
  <c r="V125" i="4"/>
  <c r="AM125" i="4" s="1"/>
  <c r="AN125" i="4" s="1"/>
  <c r="U14" i="4"/>
  <c r="AH14" i="4" s="1"/>
  <c r="V26" i="4"/>
  <c r="U37" i="4"/>
  <c r="AH37" i="4" s="1"/>
  <c r="V145" i="4"/>
  <c r="AM145" i="4" s="1"/>
  <c r="AN145" i="4" s="1"/>
  <c r="V57" i="4"/>
  <c r="AM57" i="4" s="1"/>
  <c r="AN57" i="4" s="1"/>
  <c r="U46" i="4"/>
  <c r="AH46" i="4" s="1"/>
  <c r="U20" i="4"/>
  <c r="AH20" i="4" s="1"/>
  <c r="U61" i="4"/>
  <c r="AH61" i="4" s="1"/>
  <c r="AS125" i="4"/>
  <c r="U134" i="4"/>
  <c r="AH134" i="4" s="1"/>
  <c r="U87" i="4"/>
  <c r="AH87" i="4" s="1"/>
  <c r="AS131" i="4"/>
  <c r="U145" i="4"/>
  <c r="AH145" i="4" s="1"/>
  <c r="AS46" i="4"/>
  <c r="U142" i="4"/>
  <c r="AH142" i="4" s="1"/>
  <c r="AS20" i="4"/>
  <c r="AS61" i="4"/>
  <c r="V12" i="4"/>
  <c r="AM12" i="4" s="1"/>
  <c r="AN12" i="4" s="1"/>
  <c r="V115" i="4"/>
  <c r="W115" i="4" s="1"/>
  <c r="Y115" i="4" s="1"/>
  <c r="AS145" i="4"/>
  <c r="V16" i="4"/>
  <c r="W16" i="4" s="1"/>
  <c r="Y16" i="4" s="1"/>
  <c r="AS142" i="4"/>
  <c r="V20" i="4"/>
  <c r="AM20" i="4" s="1"/>
  <c r="AN20" i="4" s="1"/>
  <c r="V14" i="4"/>
  <c r="AM14" i="4" s="1"/>
  <c r="AN14" i="4" s="1"/>
  <c r="V66" i="4"/>
  <c r="AM66" i="4" s="1"/>
  <c r="AN66" i="4" s="1"/>
  <c r="U18" i="4"/>
  <c r="U128" i="4"/>
  <c r="AH128" i="4" s="1"/>
  <c r="U57" i="4"/>
  <c r="AH57" i="4" s="1"/>
  <c r="V142" i="4"/>
  <c r="AM142" i="4" s="1"/>
  <c r="AN142" i="4" s="1"/>
  <c r="U16" i="4"/>
  <c r="AH16" i="4" s="1"/>
  <c r="V134" i="4"/>
  <c r="W134" i="4" s="1"/>
  <c r="V128" i="4"/>
  <c r="W128" i="4" s="1"/>
  <c r="AS14" i="4"/>
  <c r="U66" i="4"/>
  <c r="AH66" i="4" s="1"/>
  <c r="X395" i="5"/>
  <c r="Y363" i="5"/>
  <c r="X363" i="5"/>
  <c r="X167" i="5"/>
  <c r="Y167" i="5"/>
  <c r="S546" i="5"/>
  <c r="R546" i="5"/>
  <c r="Y145" i="5"/>
  <c r="X266" i="5"/>
  <c r="Y266" i="5"/>
  <c r="X479" i="5"/>
  <c r="Y479" i="5"/>
  <c r="Y373" i="5"/>
  <c r="X373" i="5"/>
  <c r="X68" i="5"/>
  <c r="Y68" i="5"/>
  <c r="X154" i="5"/>
  <c r="Y154" i="5"/>
  <c r="X132" i="5"/>
  <c r="Y132" i="5"/>
  <c r="X366" i="5"/>
  <c r="Y366" i="5"/>
  <c r="Y262" i="5"/>
  <c r="X262" i="5"/>
  <c r="R376" i="5"/>
  <c r="S376" i="5"/>
  <c r="Y110" i="5"/>
  <c r="X110" i="5"/>
  <c r="Y282" i="5"/>
  <c r="X282" i="5"/>
  <c r="R368" i="5"/>
  <c r="S368" i="5"/>
  <c r="Y331" i="5"/>
  <c r="X331" i="5"/>
  <c r="Y557" i="5"/>
  <c r="X557" i="5"/>
  <c r="R176" i="5"/>
  <c r="S176" i="5"/>
  <c r="S200" i="5"/>
  <c r="R200" i="5"/>
  <c r="S534" i="5"/>
  <c r="R534" i="5"/>
  <c r="X112" i="5"/>
  <c r="Y112" i="5"/>
  <c r="X456" i="5"/>
  <c r="Y456" i="5"/>
  <c r="X343" i="5"/>
  <c r="Y343" i="5"/>
  <c r="S248" i="5"/>
  <c r="Y427" i="5"/>
  <c r="X427" i="5"/>
  <c r="R384" i="5"/>
  <c r="X29" i="5"/>
  <c r="Y56" i="5"/>
  <c r="X56" i="5"/>
  <c r="Y290" i="5"/>
  <c r="X290" i="5"/>
  <c r="Y272" i="5"/>
  <c r="X272" i="5"/>
  <c r="X85" i="5"/>
  <c r="Y50" i="5"/>
  <c r="X50" i="5"/>
  <c r="X269" i="5"/>
  <c r="Y269" i="5"/>
  <c r="Y125" i="5"/>
  <c r="X125" i="5"/>
  <c r="Y212" i="5"/>
  <c r="X212" i="5"/>
  <c r="R48" i="5"/>
  <c r="X137" i="5"/>
  <c r="Y484" i="5"/>
  <c r="Y441" i="5"/>
  <c r="R408" i="5"/>
  <c r="R72" i="5"/>
  <c r="Y323" i="5"/>
  <c r="X435" i="5"/>
  <c r="Y435" i="5"/>
  <c r="X405" i="5"/>
  <c r="Y405" i="5"/>
  <c r="X453" i="5"/>
  <c r="Y115" i="5"/>
  <c r="Y403" i="5"/>
  <c r="X403" i="5"/>
  <c r="R360" i="5"/>
  <c r="X202" i="5"/>
  <c r="S296" i="5"/>
  <c r="Y82" i="5"/>
  <c r="X200" i="5"/>
  <c r="R504" i="5"/>
  <c r="R336" i="5"/>
  <c r="S144" i="5"/>
  <c r="R496" i="5"/>
  <c r="Y332" i="5"/>
  <c r="X409" i="5"/>
  <c r="X86" i="5"/>
  <c r="Y130" i="5"/>
  <c r="Y321" i="5"/>
  <c r="Y288" i="5"/>
  <c r="X358" i="5"/>
  <c r="X541" i="5"/>
  <c r="Y510" i="5"/>
  <c r="R440" i="5"/>
  <c r="Y386" i="5"/>
  <c r="Y424" i="5"/>
  <c r="R264" i="5"/>
  <c r="X78" i="5"/>
  <c r="Y555" i="5"/>
  <c r="Y98" i="5"/>
  <c r="R24" i="5"/>
  <c r="Y63" i="5"/>
  <c r="X298" i="5"/>
  <c r="Y391" i="5"/>
  <c r="X299" i="5"/>
  <c r="Y72" i="5"/>
  <c r="Y361" i="5"/>
  <c r="X549" i="5"/>
  <c r="X60" i="5"/>
  <c r="X257" i="5"/>
  <c r="Y464" i="5"/>
  <c r="X229" i="5"/>
  <c r="X62" i="5"/>
  <c r="X537" i="5"/>
  <c r="Y542" i="5"/>
  <c r="Y287" i="5"/>
  <c r="X387" i="5"/>
  <c r="Y199" i="5"/>
  <c r="Y119" i="5"/>
  <c r="Y253" i="5"/>
  <c r="X198" i="5"/>
  <c r="Y506" i="5"/>
  <c r="X178" i="5"/>
  <c r="Y486" i="5"/>
  <c r="X505" i="5"/>
  <c r="Y189" i="5"/>
  <c r="Y237" i="5"/>
  <c r="X270" i="5"/>
  <c r="X89" i="5"/>
  <c r="Y454" i="5"/>
  <c r="X275" i="5"/>
  <c r="Y139" i="5"/>
  <c r="Y543" i="5"/>
  <c r="X478" i="5"/>
  <c r="X466" i="5"/>
  <c r="X21" i="5"/>
  <c r="Y281" i="5"/>
  <c r="X551" i="5"/>
  <c r="X23" i="5"/>
  <c r="Y38" i="5"/>
  <c r="X247" i="5"/>
  <c r="Y208" i="5"/>
  <c r="X482" i="5"/>
  <c r="Y433" i="5"/>
  <c r="R400" i="5"/>
  <c r="Y480" i="5"/>
  <c r="X511" i="5"/>
  <c r="S56" i="5"/>
  <c r="S272" i="5"/>
  <c r="Y382" i="5"/>
  <c r="Y473" i="5"/>
  <c r="X341" i="5"/>
  <c r="Y271" i="5"/>
  <c r="X300" i="5"/>
  <c r="Y172" i="5"/>
  <c r="Y460" i="5"/>
  <c r="Y305" i="5"/>
  <c r="X400" i="5"/>
  <c r="Y490" i="5"/>
  <c r="X390" i="5"/>
  <c r="X470" i="5"/>
  <c r="Y153" i="5"/>
  <c r="X222" i="5"/>
  <c r="X509" i="5"/>
  <c r="X393" i="5"/>
  <c r="X550" i="5"/>
  <c r="S120" i="5"/>
  <c r="Y293" i="5"/>
  <c r="X445" i="5"/>
  <c r="Y93" i="5"/>
  <c r="X351" i="5"/>
  <c r="Y353" i="5"/>
  <c r="X481" i="5"/>
  <c r="X223" i="5"/>
  <c r="X519" i="5"/>
  <c r="Y169" i="5"/>
  <c r="Y530" i="5"/>
  <c r="X174" i="5"/>
  <c r="X512" i="5"/>
  <c r="X428" i="5"/>
  <c r="X64" i="5"/>
  <c r="X248" i="5"/>
  <c r="X243" i="5"/>
  <c r="Y57" i="5"/>
  <c r="Y444" i="5"/>
  <c r="Y26" i="5"/>
  <c r="Y233" i="5"/>
  <c r="X58" i="5"/>
  <c r="X273" i="5"/>
  <c r="X475" i="5"/>
  <c r="X194" i="5"/>
  <c r="Y46" i="5"/>
  <c r="Y401" i="5"/>
  <c r="Y312" i="5"/>
  <c r="Y180" i="5"/>
  <c r="Y142" i="5"/>
  <c r="X304" i="5"/>
  <c r="W96" i="4"/>
  <c r="Y96" i="4" s="1"/>
  <c r="Z96" i="4" s="1"/>
  <c r="AF96" i="4" s="1"/>
  <c r="AO96" i="4" s="1"/>
  <c r="Y529" i="5"/>
  <c r="Y425" i="5"/>
  <c r="X498" i="5"/>
  <c r="Y131" i="5"/>
  <c r="W73" i="4"/>
  <c r="X73" i="4" s="1"/>
  <c r="X108" i="5"/>
  <c r="Y77" i="5"/>
  <c r="X102" i="5"/>
  <c r="X438" i="5"/>
  <c r="Y197" i="5"/>
  <c r="Y359" i="5"/>
  <c r="X552" i="5"/>
  <c r="X263" i="5"/>
  <c r="Y152" i="5"/>
  <c r="X535" i="5"/>
  <c r="X472" i="5"/>
  <c r="Y42" i="5"/>
  <c r="X36" i="5"/>
  <c r="X546" i="5"/>
  <c r="Y339" i="5"/>
  <c r="X254" i="5"/>
  <c r="Y196" i="5"/>
  <c r="X73" i="5"/>
  <c r="Y239" i="5"/>
  <c r="Y173" i="5"/>
  <c r="X61" i="5"/>
  <c r="Y296" i="5"/>
  <c r="Y381" i="5"/>
  <c r="Y48" i="5"/>
  <c r="X244" i="5"/>
  <c r="Y99" i="5"/>
  <c r="AM98" i="4"/>
  <c r="X258" i="5"/>
  <c r="Y22" i="5"/>
  <c r="X536" i="5"/>
  <c r="Y493" i="5"/>
  <c r="X133" i="5"/>
  <c r="Y284" i="5"/>
  <c r="Y463" i="5"/>
  <c r="Y350" i="5"/>
  <c r="Y357" i="5"/>
  <c r="Y317" i="5"/>
  <c r="Y187" i="5"/>
  <c r="Y485" i="5"/>
  <c r="X280" i="5"/>
  <c r="Y500" i="5"/>
  <c r="X507" i="5"/>
  <c r="Y291" i="5"/>
  <c r="X66" i="5"/>
  <c r="Y520" i="5"/>
  <c r="R184" i="5"/>
  <c r="X477" i="5"/>
  <c r="Y402" i="5"/>
  <c r="Y216" i="5"/>
  <c r="R538" i="5"/>
  <c r="Y440" i="5"/>
  <c r="Y101" i="5"/>
  <c r="X327" i="5"/>
  <c r="Y408" i="5"/>
  <c r="Y436" i="5"/>
  <c r="X191" i="5"/>
  <c r="Y376" i="5"/>
  <c r="X515" i="5"/>
  <c r="Y213" i="5"/>
  <c r="X474" i="5"/>
  <c r="Y84" i="5"/>
  <c r="Y346" i="5"/>
  <c r="X261" i="5"/>
  <c r="Y81" i="5"/>
  <c r="Y175" i="5"/>
  <c r="Y526" i="5"/>
  <c r="X392" i="5"/>
  <c r="X354" i="5"/>
  <c r="Y75" i="5"/>
  <c r="Y97" i="5"/>
  <c r="X372" i="5"/>
  <c r="X442" i="5"/>
  <c r="X249" i="5"/>
  <c r="Y487" i="5"/>
  <c r="Y492" i="5"/>
  <c r="Y410" i="5"/>
  <c r="R192" i="5"/>
  <c r="R160" i="5"/>
  <c r="Y238" i="5"/>
  <c r="Y92" i="5"/>
  <c r="Y148" i="5"/>
  <c r="Y20" i="5"/>
  <c r="Y422" i="5"/>
  <c r="Y59" i="5"/>
  <c r="Y267" i="5"/>
  <c r="X32" i="5"/>
  <c r="X79" i="5"/>
  <c r="X201" i="5"/>
  <c r="R352" i="5"/>
  <c r="Y360" i="5"/>
  <c r="X210" i="5"/>
  <c r="X183" i="5"/>
  <c r="Y385" i="5"/>
  <c r="Y279" i="5"/>
  <c r="X504" i="5"/>
  <c r="X88" i="5"/>
  <c r="X559" i="5"/>
  <c r="X170" i="5"/>
  <c r="X283" i="5"/>
  <c r="Y39" i="5"/>
  <c r="X234" i="5"/>
  <c r="X501" i="5"/>
  <c r="X232" i="5"/>
  <c r="X538" i="5"/>
  <c r="X344" i="5"/>
  <c r="Y503" i="5"/>
  <c r="X165" i="5"/>
  <c r="X168" i="5"/>
  <c r="Y265" i="5"/>
  <c r="Y255" i="5"/>
  <c r="X488" i="5"/>
  <c r="X483" i="5"/>
  <c r="X497" i="5"/>
  <c r="X160" i="5"/>
  <c r="X136" i="5"/>
  <c r="Y423" i="5"/>
  <c r="Y121" i="5"/>
  <c r="X455" i="5"/>
  <c r="X508" i="5"/>
  <c r="X164" i="5"/>
  <c r="X375" i="5"/>
  <c r="X540" i="5"/>
  <c r="Y417" i="5"/>
  <c r="X151" i="5"/>
  <c r="Y76" i="5"/>
  <c r="Y371" i="5"/>
  <c r="Y330" i="5"/>
  <c r="X388" i="5"/>
  <c r="Y252" i="5"/>
  <c r="X532" i="5"/>
  <c r="X27" i="5"/>
  <c r="Y54" i="5"/>
  <c r="X207" i="5"/>
  <c r="X449" i="5"/>
  <c r="Y545" i="5"/>
  <c r="Y380" i="5"/>
  <c r="X104" i="5"/>
  <c r="Y30" i="5"/>
  <c r="X306" i="5"/>
  <c r="Y241" i="5"/>
  <c r="X349" i="5"/>
  <c r="X406" i="5"/>
  <c r="Y70" i="5"/>
  <c r="W140" i="4"/>
  <c r="Y140" i="4" s="1"/>
  <c r="AM140" i="4"/>
  <c r="W105" i="4"/>
  <c r="AM105" i="4"/>
  <c r="AS58" i="4"/>
  <c r="AS149" i="4"/>
  <c r="AS157" i="4"/>
  <c r="AS77" i="4"/>
  <c r="V22" i="4"/>
  <c r="AM22" i="4" s="1"/>
  <c r="AN22" i="4" s="1"/>
  <c r="AS39" i="4"/>
  <c r="V109" i="4"/>
  <c r="AM109" i="4" s="1"/>
  <c r="AN109" i="4" s="1"/>
  <c r="X496" i="5"/>
  <c r="Y217" i="5"/>
  <c r="Y221" i="5"/>
  <c r="X333" i="5"/>
  <c r="Y242" i="5"/>
  <c r="Y220" i="5"/>
  <c r="X471" i="5"/>
  <c r="Y150" i="5"/>
  <c r="X140" i="5"/>
  <c r="U24" i="4"/>
  <c r="AH24" i="4" s="1"/>
  <c r="AL84" i="4"/>
  <c r="AS84" i="4"/>
  <c r="AL155" i="4"/>
  <c r="U155" i="4"/>
  <c r="AL118" i="4"/>
  <c r="AS118" i="4"/>
  <c r="Y122" i="5"/>
  <c r="X122" i="5"/>
  <c r="V83" i="4"/>
  <c r="V67" i="4"/>
  <c r="AM67" i="4" s="1"/>
  <c r="AN67" i="4" s="1"/>
  <c r="X328" i="5"/>
  <c r="R288" i="5"/>
  <c r="V39" i="4"/>
  <c r="AM39" i="4" s="1"/>
  <c r="AN39" i="4" s="1"/>
  <c r="AS109" i="4"/>
  <c r="Y467" i="5"/>
  <c r="Y439" i="5"/>
  <c r="Y188" i="5"/>
  <c r="Y236" i="5"/>
  <c r="Y356" i="5"/>
  <c r="Y268" i="5"/>
  <c r="Y159" i="5"/>
  <c r="X476" i="5"/>
  <c r="U109" i="4"/>
  <c r="AH109" i="4" s="1"/>
  <c r="AL10" i="4"/>
  <c r="V10" i="4"/>
  <c r="AL101" i="4"/>
  <c r="U101" i="4"/>
  <c r="AH101" i="4" s="1"/>
  <c r="V101" i="4"/>
  <c r="AL62" i="4"/>
  <c r="AS62" i="4"/>
  <c r="V62" i="4"/>
  <c r="AS96" i="4"/>
  <c r="AL157" i="4"/>
  <c r="U157" i="4"/>
  <c r="AH157" i="4" s="1"/>
  <c r="AL77" i="4"/>
  <c r="U77" i="4"/>
  <c r="AH77" i="4" s="1"/>
  <c r="U42" i="4"/>
  <c r="AH42" i="4" s="1"/>
  <c r="AS33" i="4"/>
  <c r="U67" i="4"/>
  <c r="AH67" i="4" s="1"/>
  <c r="V15" i="4"/>
  <c r="AM15" i="4" s="1"/>
  <c r="AN15" i="4" s="1"/>
  <c r="AS121" i="4"/>
  <c r="V43" i="4"/>
  <c r="W43" i="4" s="1"/>
  <c r="Y43" i="4" s="1"/>
  <c r="X24" i="5"/>
  <c r="X256" i="5"/>
  <c r="AS135" i="4"/>
  <c r="Y352" i="5"/>
  <c r="U39" i="4"/>
  <c r="AH39" i="4" s="1"/>
  <c r="X123" i="5"/>
  <c r="Y246" i="5"/>
  <c r="Y523" i="5"/>
  <c r="Y190" i="5"/>
  <c r="X34" i="5"/>
  <c r="Y544" i="5"/>
  <c r="Y513" i="5"/>
  <c r="X149" i="5"/>
  <c r="V58" i="4"/>
  <c r="U91" i="4"/>
  <c r="AH91" i="4" s="1"/>
  <c r="AS101" i="4"/>
  <c r="AS137" i="4"/>
  <c r="AS42" i="4"/>
  <c r="V33" i="4"/>
  <c r="W33" i="4" s="1"/>
  <c r="Y33" i="4" s="1"/>
  <c r="Z33" i="4" s="1"/>
  <c r="AS67" i="4"/>
  <c r="AS15" i="4"/>
  <c r="V121" i="4"/>
  <c r="W121" i="4" s="1"/>
  <c r="Y121" i="4" s="1"/>
  <c r="Z121" i="4" s="1"/>
  <c r="U43" i="4"/>
  <c r="AH43" i="4" s="1"/>
  <c r="U129" i="4"/>
  <c r="AH129" i="4" s="1"/>
  <c r="AM9" i="5"/>
  <c r="AN9" i="5" s="1"/>
  <c r="AH103" i="4"/>
  <c r="V135" i="4"/>
  <c r="AM135" i="4" s="1"/>
  <c r="AN135" i="4" s="1"/>
  <c r="X447" i="5"/>
  <c r="X19" i="5"/>
  <c r="Y407" i="5"/>
  <c r="Y251" i="5"/>
  <c r="Y157" i="5"/>
  <c r="Y80" i="5"/>
  <c r="Y143" i="5"/>
  <c r="AL132" i="4"/>
  <c r="V132" i="4"/>
  <c r="U132" i="4"/>
  <c r="AH132" i="4" s="1"/>
  <c r="AL130" i="4"/>
  <c r="V130" i="4"/>
  <c r="AL98" i="4"/>
  <c r="AS98" i="4"/>
  <c r="Y469" i="5"/>
  <c r="X560" i="5"/>
  <c r="U94" i="4"/>
  <c r="AH94" i="4" s="1"/>
  <c r="V94" i="4"/>
  <c r="AS94" i="4"/>
  <c r="AL94" i="4"/>
  <c r="V155" i="4"/>
  <c r="V24" i="4"/>
  <c r="V129" i="4"/>
  <c r="AM129" i="4" s="1"/>
  <c r="AN129" i="4" s="1"/>
  <c r="AS72" i="4"/>
  <c r="V152" i="4"/>
  <c r="AM152" i="4" s="1"/>
  <c r="AN152" i="4" s="1"/>
  <c r="V148" i="4"/>
  <c r="AM148" i="4" s="1"/>
  <c r="AN148" i="4" s="1"/>
  <c r="X316" i="5"/>
  <c r="Y141" i="5"/>
  <c r="Y67" i="5"/>
  <c r="X177" i="5"/>
  <c r="Y429" i="5"/>
  <c r="Y521" i="5"/>
  <c r="Y430" i="5"/>
  <c r="Y556" i="5"/>
  <c r="X71" i="5"/>
  <c r="X348" i="5"/>
  <c r="X124" i="5"/>
  <c r="AS59" i="4"/>
  <c r="AL59" i="4"/>
  <c r="V59" i="4"/>
  <c r="U59" i="4"/>
  <c r="AH59" i="4" s="1"/>
  <c r="AS79" i="4"/>
  <c r="AL79" i="4"/>
  <c r="U79" i="4"/>
  <c r="AH79" i="4" s="1"/>
  <c r="V79" i="4"/>
  <c r="AL141" i="4"/>
  <c r="V141" i="4"/>
  <c r="AS73" i="4"/>
  <c r="AL73" i="4"/>
  <c r="AN73" i="4" s="1"/>
  <c r="AL133" i="4"/>
  <c r="U133" i="4"/>
  <c r="AH133" i="4" s="1"/>
  <c r="V133" i="4"/>
  <c r="AS18" i="4"/>
  <c r="AS130" i="4"/>
  <c r="AM11" i="5"/>
  <c r="AO11" i="5" s="1"/>
  <c r="AH122" i="4"/>
  <c r="V56" i="4"/>
  <c r="W56" i="4" s="1"/>
  <c r="Y56" i="4" s="1"/>
  <c r="Z56" i="4" s="1"/>
  <c r="AH138" i="4"/>
  <c r="U149" i="4"/>
  <c r="AH149" i="4" s="1"/>
  <c r="AS56" i="4"/>
  <c r="V72" i="4"/>
  <c r="AM72" i="4" s="1"/>
  <c r="AN72" i="4" s="1"/>
  <c r="AS152" i="4"/>
  <c r="U148" i="4"/>
  <c r="AH148" i="4" s="1"/>
  <c r="U22" i="4"/>
  <c r="AH22" i="4" s="1"/>
  <c r="AH23" i="4"/>
  <c r="Y384" i="5"/>
  <c r="X340" i="5"/>
  <c r="X114" i="5"/>
  <c r="AH96" i="4"/>
  <c r="AL34" i="4"/>
  <c r="AS34" i="4"/>
  <c r="V34" i="4"/>
  <c r="U34" i="4"/>
  <c r="AH34" i="4" s="1"/>
  <c r="AL140" i="4"/>
  <c r="U140" i="4"/>
  <c r="AH140" i="4" s="1"/>
  <c r="AS140" i="4"/>
  <c r="AL143" i="4"/>
  <c r="AS143" i="4"/>
  <c r="AL105" i="4"/>
  <c r="AS105" i="4"/>
  <c r="U105" i="4"/>
  <c r="AL21" i="4"/>
  <c r="V21" i="4"/>
  <c r="U21" i="4"/>
  <c r="AH21" i="4" s="1"/>
  <c r="AS21" i="4"/>
  <c r="AS132" i="4"/>
  <c r="V144" i="4"/>
  <c r="Y8" i="5"/>
  <c r="X338" i="5"/>
  <c r="Y53" i="5"/>
  <c r="X420" i="5"/>
  <c r="X431" i="5"/>
  <c r="Y369" i="5"/>
  <c r="Y90" i="5"/>
  <c r="X548" i="5"/>
  <c r="X522" i="5"/>
  <c r="Y186" i="5"/>
  <c r="X468" i="5"/>
  <c r="X324" i="5"/>
  <c r="X226" i="5"/>
  <c r="X31" i="5"/>
  <c r="Y245" i="5"/>
  <c r="Y33" i="5"/>
  <c r="X195" i="5"/>
  <c r="X311" i="5"/>
  <c r="Y294" i="5"/>
  <c r="Y182" i="5"/>
  <c r="X25" i="5"/>
  <c r="Y494" i="5"/>
  <c r="Y443" i="5"/>
  <c r="X303" i="5"/>
  <c r="Y421" i="5"/>
  <c r="Y524" i="5"/>
  <c r="Y176" i="5"/>
  <c r="X44" i="5"/>
  <c r="Y418" i="5"/>
  <c r="X40" i="5"/>
  <c r="X91" i="5"/>
  <c r="X528" i="5"/>
  <c r="X368" i="5"/>
  <c r="X228" i="5"/>
  <c r="X127" i="5"/>
  <c r="Y127" i="5"/>
  <c r="X461" i="5"/>
  <c r="Y461" i="5"/>
  <c r="AH38" i="4"/>
  <c r="Y502" i="5"/>
  <c r="Y450" i="5"/>
  <c r="X309" i="5"/>
  <c r="X146" i="5"/>
  <c r="X166" i="5"/>
  <c r="Y109" i="5"/>
  <c r="Y230" i="5"/>
  <c r="X230" i="5"/>
  <c r="X171" i="5"/>
  <c r="Y171" i="5"/>
  <c r="Y113" i="5"/>
  <c r="X113" i="5"/>
  <c r="Y377" i="5"/>
  <c r="X377" i="5"/>
  <c r="Y193" i="5"/>
  <c r="X193" i="5"/>
  <c r="Y285" i="5"/>
  <c r="X285" i="5"/>
  <c r="X235" i="5"/>
  <c r="Y235" i="5"/>
  <c r="X94" i="5"/>
  <c r="Y370" i="5"/>
  <c r="X370" i="5"/>
  <c r="AH11" i="4"/>
  <c r="Y397" i="5"/>
  <c r="X111" i="5"/>
  <c r="X495" i="5"/>
  <c r="Y105" i="5"/>
  <c r="Y396" i="5"/>
  <c r="X367" i="5"/>
  <c r="X414" i="5"/>
  <c r="X462" i="5"/>
  <c r="Y209" i="5"/>
  <c r="X459" i="5"/>
  <c r="Y459" i="5"/>
  <c r="X307" i="5"/>
  <c r="Y307" i="5"/>
  <c r="Y527" i="5"/>
  <c r="AH15" i="4"/>
  <c r="X534" i="5"/>
  <c r="X227" i="5"/>
  <c r="Y116" i="5"/>
  <c r="Y250" i="5"/>
  <c r="Y107" i="5"/>
  <c r="Y162" i="5"/>
  <c r="X295" i="5"/>
  <c r="Y49" i="5"/>
  <c r="X49" i="5"/>
  <c r="X413" i="5"/>
  <c r="X398" i="5"/>
  <c r="Y419" i="5"/>
  <c r="Y558" i="5"/>
  <c r="Y452" i="5"/>
  <c r="X452" i="5"/>
  <c r="X147" i="5"/>
  <c r="Y147" i="5"/>
  <c r="X47" i="5"/>
  <c r="Y47" i="5"/>
  <c r="Y446" i="5"/>
  <c r="X292" i="5"/>
  <c r="Y336" i="5"/>
  <c r="Y41" i="5"/>
  <c r="X347" i="5"/>
  <c r="Y364" i="5"/>
  <c r="Y185" i="5"/>
  <c r="Y37" i="5"/>
  <c r="Y362" i="5"/>
  <c r="Y411" i="5"/>
  <c r="Y144" i="5"/>
  <c r="Y308" i="5"/>
  <c r="X224" i="5"/>
  <c r="Y337" i="5"/>
  <c r="X231" i="5"/>
  <c r="X335" i="5"/>
  <c r="Y297" i="5"/>
  <c r="Y87" i="5"/>
  <c r="Y547" i="5"/>
  <c r="X547" i="5"/>
  <c r="AH8" i="4"/>
  <c r="Y318" i="5"/>
  <c r="X322" i="5"/>
  <c r="Y134" i="5"/>
  <c r="Y163" i="5"/>
  <c r="Y539" i="5"/>
  <c r="Y379" i="5"/>
  <c r="Y225" i="5"/>
  <c r="X457" i="5"/>
  <c r="Y325" i="5"/>
  <c r="X325" i="5"/>
  <c r="X489" i="5"/>
  <c r="Y489" i="5"/>
  <c r="X205" i="5"/>
  <c r="Y205" i="5"/>
  <c r="AM143" i="4"/>
  <c r="W143" i="4"/>
  <c r="Y143" i="4" s="1"/>
  <c r="Z143" i="4" s="1"/>
  <c r="AJ11" i="5"/>
  <c r="AK11" i="5" s="1"/>
  <c r="AM84" i="4"/>
  <c r="W84" i="4"/>
  <c r="X138" i="5"/>
  <c r="Y499" i="5"/>
  <c r="X499" i="5"/>
  <c r="Y514" i="5"/>
  <c r="X203" i="5"/>
  <c r="Y103" i="5"/>
  <c r="X103" i="5"/>
  <c r="Y404" i="5"/>
  <c r="X404" i="5"/>
  <c r="X345" i="5"/>
  <c r="Y345" i="5"/>
  <c r="W9" i="5"/>
  <c r="T9" i="5"/>
  <c r="AG9" i="5"/>
  <c r="Q9" i="5"/>
  <c r="X118" i="5"/>
  <c r="Y118" i="5"/>
  <c r="X374" i="5"/>
  <c r="Y374" i="5"/>
  <c r="Y315" i="5"/>
  <c r="X315" i="5"/>
  <c r="X516" i="5"/>
  <c r="P326" i="5"/>
  <c r="P32" i="5"/>
  <c r="P375" i="5"/>
  <c r="P445" i="5"/>
  <c r="P93" i="5"/>
  <c r="P342" i="5"/>
  <c r="P195" i="5"/>
  <c r="P279" i="5"/>
  <c r="P242" i="5"/>
  <c r="P465" i="5"/>
  <c r="P263" i="5"/>
  <c r="P210" i="5"/>
  <c r="P72" i="5"/>
  <c r="P454" i="5"/>
  <c r="P270" i="5"/>
  <c r="P475" i="5"/>
  <c r="P254" i="5"/>
  <c r="P98" i="5"/>
  <c r="P460" i="5"/>
  <c r="P492" i="5"/>
  <c r="P282" i="5"/>
  <c r="P172" i="5"/>
  <c r="P132" i="5"/>
  <c r="P413" i="5"/>
  <c r="P438" i="5"/>
  <c r="P336" i="5"/>
  <c r="P428" i="5"/>
  <c r="P115" i="5"/>
  <c r="P140" i="5"/>
  <c r="P154" i="5"/>
  <c r="P528" i="5"/>
  <c r="P322" i="5"/>
  <c r="P398" i="5"/>
  <c r="P327" i="5"/>
  <c r="P332" i="5"/>
  <c r="P53" i="5"/>
  <c r="P213" i="5"/>
  <c r="P409" i="5"/>
  <c r="P385" i="5"/>
  <c r="P557" i="5"/>
  <c r="P560" i="5"/>
  <c r="P27" i="5"/>
  <c r="P36" i="5"/>
  <c r="P504" i="5"/>
  <c r="P266" i="5"/>
  <c r="P264" i="5"/>
  <c r="P468" i="5"/>
  <c r="P11" i="5"/>
  <c r="P476" i="5"/>
  <c r="P436" i="5"/>
  <c r="P146" i="5"/>
  <c r="P548" i="5"/>
  <c r="P78" i="5"/>
  <c r="P352" i="5"/>
  <c r="P104" i="5"/>
  <c r="P404" i="5"/>
  <c r="P382" i="5"/>
  <c r="P239" i="5"/>
  <c r="P33" i="5"/>
  <c r="P479" i="5"/>
  <c r="P247" i="5"/>
  <c r="P477" i="5"/>
  <c r="P143" i="5"/>
  <c r="P505" i="5"/>
  <c r="P538" i="5"/>
  <c r="P376" i="5"/>
  <c r="P121" i="5"/>
  <c r="P109" i="5"/>
  <c r="P388" i="5"/>
  <c r="P131" i="5"/>
  <c r="P373" i="5"/>
  <c r="P116" i="5"/>
  <c r="P537" i="5"/>
  <c r="P514" i="5"/>
  <c r="P499" i="5"/>
  <c r="P311" i="5"/>
  <c r="P387" i="5"/>
  <c r="P170" i="5"/>
  <c r="P248" i="5"/>
  <c r="P318" i="5"/>
  <c r="P293" i="5"/>
  <c r="P464" i="5"/>
  <c r="P128" i="5"/>
  <c r="P35" i="5"/>
  <c r="P22" i="5"/>
  <c r="P364" i="5"/>
  <c r="P530" i="5"/>
  <c r="P296" i="5"/>
  <c r="P486" i="5"/>
  <c r="P230" i="5"/>
  <c r="P452" i="5"/>
  <c r="P295" i="5"/>
  <c r="P187" i="5"/>
  <c r="P163" i="5"/>
  <c r="P66" i="5"/>
  <c r="P356" i="5"/>
  <c r="P369" i="5"/>
  <c r="P312" i="5"/>
  <c r="P51" i="5"/>
  <c r="P467" i="5"/>
  <c r="P12" i="5"/>
  <c r="P134" i="5"/>
  <c r="P501" i="5"/>
  <c r="P315" i="5"/>
  <c r="P152" i="5"/>
  <c r="P106" i="5"/>
  <c r="P67" i="5"/>
  <c r="P240" i="5"/>
  <c r="P553" i="5"/>
  <c r="P357" i="5"/>
  <c r="P473" i="5"/>
  <c r="P105" i="5"/>
  <c r="P396" i="5"/>
  <c r="P215" i="5"/>
  <c r="P150" i="5"/>
  <c r="P194" i="5"/>
  <c r="P103" i="5"/>
  <c r="P304" i="5"/>
  <c r="P75" i="5"/>
  <c r="P201" i="5"/>
  <c r="P298" i="5"/>
  <c r="P457" i="5"/>
  <c r="P395" i="5"/>
  <c r="P427" i="5"/>
  <c r="P156" i="5"/>
  <c r="P56" i="5"/>
  <c r="P219" i="5"/>
  <c r="P258" i="5"/>
  <c r="P453" i="5"/>
  <c r="P419" i="5"/>
  <c r="P440" i="5"/>
  <c r="P372" i="5"/>
  <c r="P144" i="5"/>
  <c r="P439" i="5"/>
  <c r="P273" i="5"/>
  <c r="P392" i="5"/>
  <c r="P28" i="5"/>
  <c r="P435" i="5"/>
  <c r="P474" i="5"/>
  <c r="P490" i="5"/>
  <c r="P100" i="5"/>
  <c r="P168" i="5"/>
  <c r="P19" i="5"/>
  <c r="P360" i="5"/>
  <c r="P193" i="5"/>
  <c r="P160" i="5"/>
  <c r="P124" i="5"/>
  <c r="P229" i="5"/>
  <c r="P255" i="5"/>
  <c r="P299" i="5"/>
  <c r="P268" i="5"/>
  <c r="P54" i="5"/>
  <c r="P503" i="5"/>
  <c r="P207" i="5"/>
  <c r="P543" i="5"/>
  <c r="P149" i="5"/>
  <c r="P44" i="5"/>
  <c r="P80" i="5"/>
  <c r="P269" i="5"/>
  <c r="P158" i="5"/>
  <c r="P523" i="5"/>
  <c r="P233" i="5"/>
  <c r="P330" i="5"/>
  <c r="P378" i="5"/>
  <c r="P192" i="5"/>
  <c r="P246" i="5"/>
  <c r="P200" i="5"/>
  <c r="P287" i="5"/>
  <c r="P232" i="5"/>
  <c r="P88" i="5"/>
  <c r="P218" i="5"/>
  <c r="P259" i="5"/>
  <c r="P231" i="5"/>
  <c r="P161" i="5"/>
  <c r="P549" i="5"/>
  <c r="P175" i="5"/>
  <c r="P433" i="5"/>
  <c r="P281" i="5"/>
  <c r="P502" i="5"/>
  <c r="P24" i="5"/>
  <c r="P120" i="5"/>
  <c r="P506" i="5"/>
  <c r="P112" i="5"/>
  <c r="P97" i="5"/>
  <c r="P459" i="5"/>
  <c r="P173" i="5"/>
  <c r="P74" i="5"/>
  <c r="P493" i="5"/>
  <c r="P344" i="5"/>
  <c r="P186" i="5"/>
  <c r="P339" i="5"/>
  <c r="P346" i="5"/>
  <c r="P145" i="5"/>
  <c r="P226" i="5"/>
  <c r="P489" i="5"/>
  <c r="P261" i="5"/>
  <c r="P370" i="5"/>
  <c r="P283" i="5"/>
  <c r="P221" i="5"/>
  <c r="P46" i="5"/>
  <c r="P554" i="5"/>
  <c r="P177" i="5"/>
  <c r="P516" i="5"/>
  <c r="P358" i="5"/>
  <c r="P447" i="5"/>
  <c r="P204" i="5"/>
  <c r="P275" i="5"/>
  <c r="P434" i="5"/>
  <c r="P211" i="5"/>
  <c r="P85" i="5"/>
  <c r="P38" i="5"/>
  <c r="P350" i="5"/>
  <c r="P71" i="5"/>
  <c r="P485" i="5"/>
  <c r="P271" i="5"/>
  <c r="P43" i="5"/>
  <c r="P250" i="5"/>
  <c r="P559" i="5"/>
  <c r="P73" i="5"/>
  <c r="P347" i="5"/>
  <c r="P49" i="5"/>
  <c r="P472" i="5"/>
  <c r="P48" i="5"/>
  <c r="P110" i="5"/>
  <c r="P442" i="5"/>
  <c r="P420" i="5"/>
  <c r="P400" i="5"/>
  <c r="P397" i="5"/>
  <c r="P34" i="5"/>
  <c r="P203" i="5"/>
  <c r="P519" i="5"/>
  <c r="P123" i="5"/>
  <c r="P113" i="5"/>
  <c r="P305" i="5"/>
  <c r="P243" i="5"/>
  <c r="P47" i="5"/>
  <c r="P386" i="5"/>
  <c r="P313" i="5"/>
  <c r="P424" i="5"/>
  <c r="P328" i="5"/>
  <c r="P402" i="5"/>
  <c r="P294" i="5"/>
  <c r="P343" i="5"/>
  <c r="P359" i="5"/>
  <c r="P61" i="5"/>
  <c r="P354" i="5"/>
  <c r="P544" i="5"/>
  <c r="P345" i="5"/>
  <c r="P63" i="5"/>
  <c r="P135" i="5"/>
  <c r="P362" i="5"/>
  <c r="P165" i="5"/>
  <c r="P507" i="5"/>
  <c r="P338" i="5"/>
  <c r="P518" i="5"/>
  <c r="P421" i="5"/>
  <c r="P69" i="5"/>
  <c r="P183" i="5"/>
  <c r="P290" i="5"/>
  <c r="P510" i="5"/>
  <c r="P300" i="5"/>
  <c r="P189" i="5"/>
  <c r="P23" i="5"/>
  <c r="P462" i="5"/>
  <c r="P59" i="5"/>
  <c r="P450" i="5"/>
  <c r="P306" i="5"/>
  <c r="P374" i="5"/>
  <c r="P353" i="5"/>
  <c r="P535" i="5"/>
  <c r="P235" i="5"/>
  <c r="P301" i="5"/>
  <c r="P209" i="5"/>
  <c r="P390" i="5"/>
  <c r="P65" i="5"/>
  <c r="P317" i="5"/>
  <c r="P81" i="5"/>
  <c r="P237" i="5"/>
  <c r="P202" i="5"/>
  <c r="P176" i="5"/>
  <c r="P236" i="5"/>
  <c r="P188" i="5"/>
  <c r="P451" i="5"/>
  <c r="P411" i="5"/>
  <c r="P122" i="5"/>
  <c r="P547" i="5"/>
  <c r="P83" i="5"/>
  <c r="P274" i="5"/>
  <c r="P129" i="5"/>
  <c r="P111" i="5"/>
  <c r="P491" i="5"/>
  <c r="P166" i="5"/>
  <c r="P288" i="5"/>
  <c r="P214" i="5"/>
  <c r="P449" i="5"/>
  <c r="P363" i="5"/>
  <c r="P77" i="5"/>
  <c r="P171" i="5"/>
  <c r="P216" i="5"/>
  <c r="P431" i="5"/>
  <c r="P119" i="5"/>
  <c r="P245" i="5"/>
  <c r="P463" i="5"/>
  <c r="P222" i="5"/>
  <c r="P118" i="5"/>
  <c r="P552" i="5"/>
  <c r="P205" i="5"/>
  <c r="P401" i="5"/>
  <c r="P280" i="5"/>
  <c r="P522" i="5"/>
  <c r="P422" i="5"/>
  <c r="P84" i="5"/>
  <c r="P94" i="5"/>
  <c r="P368" i="5"/>
  <c r="P456" i="5"/>
  <c r="P86" i="5"/>
  <c r="P414" i="5"/>
  <c r="P515" i="5"/>
  <c r="P162" i="5"/>
  <c r="P92" i="5"/>
  <c r="P484" i="5"/>
  <c r="P31" i="5"/>
  <c r="P334" i="5"/>
  <c r="P52" i="5"/>
  <c r="P406" i="5"/>
  <c r="P249" i="5"/>
  <c r="P126" i="5"/>
  <c r="P418" i="5"/>
  <c r="P212" i="5"/>
  <c r="P366" i="5"/>
  <c r="P417" i="5"/>
  <c r="P539" i="5"/>
  <c r="P365" i="5"/>
  <c r="P335" i="5"/>
  <c r="P348" i="5"/>
  <c r="P310" i="5"/>
  <c r="P542" i="5"/>
  <c r="P532" i="5"/>
  <c r="P470" i="5"/>
  <c r="P130" i="5"/>
  <c r="P89" i="5"/>
  <c r="P276" i="5"/>
  <c r="P471" i="5"/>
  <c r="P399" i="5"/>
  <c r="P29" i="5"/>
  <c r="P244" i="5"/>
  <c r="P410" i="5"/>
  <c r="P153" i="5"/>
  <c r="P308" i="5"/>
  <c r="P540" i="5"/>
  <c r="P147" i="5"/>
  <c r="P164" i="5"/>
  <c r="P408" i="5"/>
  <c r="P319" i="5"/>
  <c r="P511" i="5"/>
  <c r="P320" i="5"/>
  <c r="P443" i="5"/>
  <c r="P289" i="5"/>
  <c r="P50" i="5"/>
  <c r="P151" i="5"/>
  <c r="P291" i="5"/>
  <c r="P480" i="5"/>
  <c r="P37" i="5"/>
  <c r="P531" i="5"/>
  <c r="P534" i="5"/>
  <c r="P225" i="5"/>
  <c r="P136" i="5"/>
  <c r="P526" i="5"/>
  <c r="P224" i="5"/>
  <c r="P333" i="5"/>
  <c r="P340" i="5"/>
  <c r="P556" i="5"/>
  <c r="P430" i="5"/>
  <c r="P96" i="5"/>
  <c r="P139" i="5"/>
  <c r="P384" i="5"/>
  <c r="P496" i="5"/>
  <c r="P91" i="5"/>
  <c r="P355" i="5"/>
  <c r="P558" i="5"/>
  <c r="P208" i="5"/>
  <c r="P142" i="5"/>
  <c r="P533" i="5"/>
  <c r="P181" i="5"/>
  <c r="P377" i="5"/>
  <c r="P198" i="5"/>
  <c r="P498" i="5"/>
  <c r="P278" i="5"/>
  <c r="P10" i="5"/>
  <c r="P114" i="5"/>
  <c r="P323" i="5"/>
  <c r="P525" i="5"/>
  <c r="P513" i="5"/>
  <c r="P512" i="5"/>
  <c r="P367" i="5"/>
  <c r="P90" i="5"/>
  <c r="P196" i="5"/>
  <c r="P316" i="5"/>
  <c r="P536" i="5"/>
  <c r="P148" i="5"/>
  <c r="P551" i="5"/>
  <c r="P546" i="5"/>
  <c r="P455" i="5"/>
  <c r="P79" i="5"/>
  <c r="P541" i="5"/>
  <c r="P241" i="5"/>
  <c r="P314" i="5"/>
  <c r="P285" i="5"/>
  <c r="P500" i="5"/>
  <c r="P302" i="5"/>
  <c r="P39" i="5"/>
  <c r="P101" i="5"/>
  <c r="P303" i="5"/>
  <c r="P371" i="5"/>
  <c r="P62" i="5"/>
  <c r="P307" i="5"/>
  <c r="P68" i="5"/>
  <c r="P169" i="5"/>
  <c r="P416" i="5"/>
  <c r="P412" i="5"/>
  <c r="P41" i="5"/>
  <c r="P555" i="5"/>
  <c r="P127" i="5"/>
  <c r="P379" i="5"/>
  <c r="P117" i="5"/>
  <c r="P297" i="5"/>
  <c r="P260" i="5"/>
  <c r="P8" i="5"/>
  <c r="P108" i="5"/>
  <c r="P337" i="5"/>
  <c r="P481" i="5"/>
  <c r="P448" i="5"/>
  <c r="P125" i="5"/>
  <c r="P425" i="5"/>
  <c r="P178" i="5"/>
  <c r="P157" i="5"/>
  <c r="P466" i="5"/>
  <c r="P137" i="5"/>
  <c r="P426" i="5"/>
  <c r="P228" i="5"/>
  <c r="P380" i="5"/>
  <c r="P361" i="5"/>
  <c r="P42" i="5"/>
  <c r="P159" i="5"/>
  <c r="P383" i="5"/>
  <c r="P461" i="5"/>
  <c r="P441" i="5"/>
  <c r="P517" i="5"/>
  <c r="P381" i="5"/>
  <c r="P190" i="5"/>
  <c r="P107" i="5"/>
  <c r="P509" i="5"/>
  <c r="P99" i="5"/>
  <c r="P238" i="5"/>
  <c r="P95" i="5"/>
  <c r="P284" i="5"/>
  <c r="P253" i="5"/>
  <c r="P217" i="5"/>
  <c r="P21" i="5"/>
  <c r="P286" i="5"/>
  <c r="P437" i="5"/>
  <c r="P469" i="5"/>
  <c r="P394" i="5"/>
  <c r="P251" i="5"/>
  <c r="P60" i="5"/>
  <c r="P155" i="5"/>
  <c r="P331" i="5"/>
  <c r="P521" i="5"/>
  <c r="P58" i="5"/>
  <c r="P446" i="5"/>
  <c r="P432" i="5"/>
  <c r="P483" i="5"/>
  <c r="P351" i="5"/>
  <c r="P527" i="5"/>
  <c r="P257" i="5"/>
  <c r="P197" i="5"/>
  <c r="P482" i="5"/>
  <c r="P444" i="5"/>
  <c r="P429" i="5"/>
  <c r="P234" i="5"/>
  <c r="P184" i="5"/>
  <c r="P141" i="5"/>
  <c r="P277" i="5"/>
  <c r="P341" i="5"/>
  <c r="P87" i="5"/>
  <c r="P185" i="5"/>
  <c r="P64" i="5"/>
  <c r="P70" i="5"/>
  <c r="P550" i="5"/>
  <c r="P138" i="5"/>
  <c r="P191" i="5"/>
  <c r="P30" i="5"/>
  <c r="P524" i="5"/>
  <c r="P13" i="5"/>
  <c r="P494" i="5"/>
  <c r="P223" i="5"/>
  <c r="P252" i="5"/>
  <c r="P57" i="5"/>
  <c r="P262" i="5"/>
  <c r="P520" i="5"/>
  <c r="P403" i="5"/>
  <c r="P423" i="5"/>
  <c r="P206" i="5"/>
  <c r="P133" i="5"/>
  <c r="P76" i="5"/>
  <c r="P407" i="5"/>
  <c r="P26" i="5"/>
  <c r="P324" i="5"/>
  <c r="P220" i="5"/>
  <c r="P292" i="5"/>
  <c r="P309" i="5"/>
  <c r="P40" i="5"/>
  <c r="P82" i="5"/>
  <c r="P329" i="5"/>
  <c r="P497" i="5"/>
  <c r="P389" i="5"/>
  <c r="P349" i="5"/>
  <c r="P265" i="5"/>
  <c r="P179" i="5"/>
  <c r="P45" i="5"/>
  <c r="P488" i="5"/>
  <c r="P180" i="5"/>
  <c r="P321" i="5"/>
  <c r="P415" i="5"/>
  <c r="P267" i="5"/>
  <c r="P174" i="5"/>
  <c r="P167" i="5"/>
  <c r="P20" i="5"/>
  <c r="P227" i="5"/>
  <c r="P393" i="5"/>
  <c r="P256" i="5"/>
  <c r="P529" i="5"/>
  <c r="P272" i="5"/>
  <c r="P9" i="5"/>
  <c r="P102" i="5"/>
  <c r="P199" i="5"/>
  <c r="P508" i="5"/>
  <c r="P478" i="5"/>
  <c r="P25" i="5"/>
  <c r="P325" i="5"/>
  <c r="P545" i="5"/>
  <c r="P458" i="5"/>
  <c r="P495" i="5"/>
  <c r="P182" i="5"/>
  <c r="P55" i="5"/>
  <c r="P391" i="5"/>
  <c r="P405" i="5"/>
  <c r="S474" i="5"/>
  <c r="R474" i="5"/>
  <c r="R548" i="5"/>
  <c r="S548" i="5"/>
  <c r="R525" i="5"/>
  <c r="S525" i="5"/>
  <c r="S36" i="5"/>
  <c r="R36" i="5"/>
  <c r="R134" i="5"/>
  <c r="S134" i="5"/>
  <c r="R397" i="5"/>
  <c r="S397" i="5"/>
  <c r="S501" i="5"/>
  <c r="R501" i="5"/>
  <c r="R394" i="5"/>
  <c r="S394" i="5"/>
  <c r="R157" i="5"/>
  <c r="S157" i="5"/>
  <c r="R194" i="5"/>
  <c r="S194" i="5"/>
  <c r="S270" i="5"/>
  <c r="R270" i="5"/>
  <c r="R286" i="5"/>
  <c r="S286" i="5"/>
  <c r="R214" i="5"/>
  <c r="S214" i="5"/>
  <c r="R241" i="5"/>
  <c r="S241" i="5"/>
  <c r="R190" i="5"/>
  <c r="S190" i="5"/>
  <c r="S132" i="5"/>
  <c r="R132" i="5"/>
  <c r="R162" i="5"/>
  <c r="S162" i="5"/>
  <c r="S530" i="5"/>
  <c r="R530" i="5"/>
  <c r="S483" i="5"/>
  <c r="R483" i="5"/>
  <c r="R282" i="5"/>
  <c r="S282" i="5"/>
  <c r="S211" i="5"/>
  <c r="R211" i="5"/>
  <c r="R171" i="5"/>
  <c r="S171" i="5"/>
  <c r="R121" i="5"/>
  <c r="S121" i="5"/>
  <c r="R61" i="5"/>
  <c r="S61" i="5"/>
  <c r="S522" i="5"/>
  <c r="R522" i="5"/>
  <c r="S477" i="5"/>
  <c r="R477" i="5"/>
  <c r="R370" i="5"/>
  <c r="S370" i="5"/>
  <c r="S257" i="5"/>
  <c r="R257" i="5"/>
  <c r="R313" i="5"/>
  <c r="S313" i="5"/>
  <c r="R164" i="5"/>
  <c r="S164" i="5"/>
  <c r="S89" i="5"/>
  <c r="R89" i="5"/>
  <c r="S42" i="5"/>
  <c r="R42" i="5"/>
  <c r="S518" i="5"/>
  <c r="R518" i="5"/>
  <c r="R473" i="5"/>
  <c r="S473" i="5"/>
  <c r="R249" i="5"/>
  <c r="S249" i="5"/>
  <c r="S141" i="5"/>
  <c r="R141" i="5"/>
  <c r="R233" i="5"/>
  <c r="S233" i="5"/>
  <c r="S105" i="5"/>
  <c r="R105" i="5"/>
  <c r="R63" i="5"/>
  <c r="S63" i="5"/>
  <c r="S443" i="5"/>
  <c r="R443" i="5"/>
  <c r="R467" i="5"/>
  <c r="S467" i="5"/>
  <c r="R351" i="5"/>
  <c r="S351" i="5"/>
  <c r="S350" i="5"/>
  <c r="R350" i="5"/>
  <c r="S299" i="5"/>
  <c r="R299" i="5"/>
  <c r="R183" i="5"/>
  <c r="S183" i="5"/>
  <c r="S103" i="5"/>
  <c r="R103" i="5"/>
  <c r="S26" i="5"/>
  <c r="R26" i="5"/>
  <c r="S502" i="5"/>
  <c r="R502" i="5"/>
  <c r="S468" i="5"/>
  <c r="R468" i="5"/>
  <c r="S442" i="5"/>
  <c r="R442" i="5"/>
  <c r="S326" i="5"/>
  <c r="R326" i="5"/>
  <c r="S228" i="5"/>
  <c r="R228" i="5"/>
  <c r="R83" i="5"/>
  <c r="S83" i="5"/>
  <c r="R58" i="5"/>
  <c r="S58" i="5"/>
  <c r="R364" i="5"/>
  <c r="S364" i="5"/>
  <c r="R452" i="5"/>
  <c r="S452" i="5"/>
  <c r="R338" i="5"/>
  <c r="S338" i="5"/>
  <c r="S346" i="5"/>
  <c r="R346" i="5"/>
  <c r="S291" i="5"/>
  <c r="R291" i="5"/>
  <c r="S179" i="5"/>
  <c r="R179" i="5"/>
  <c r="R82" i="5"/>
  <c r="S82" i="5"/>
  <c r="S516" i="5"/>
  <c r="R516" i="5"/>
  <c r="S444" i="5"/>
  <c r="R444" i="5"/>
  <c r="S387" i="5"/>
  <c r="R387" i="5"/>
  <c r="S407" i="5"/>
  <c r="R407" i="5"/>
  <c r="R285" i="5"/>
  <c r="S285" i="5"/>
  <c r="R107" i="5"/>
  <c r="S107" i="5"/>
  <c r="R100" i="5"/>
  <c r="S100" i="5"/>
  <c r="S50" i="5"/>
  <c r="R50" i="5"/>
  <c r="S383" i="5"/>
  <c r="R383" i="5"/>
  <c r="S521" i="5"/>
  <c r="R521" i="5"/>
  <c r="S495" i="5"/>
  <c r="R495" i="5"/>
  <c r="R542" i="5"/>
  <c r="S542" i="5"/>
  <c r="R459" i="5"/>
  <c r="S459" i="5"/>
  <c r="S119" i="5"/>
  <c r="R119" i="5"/>
  <c r="R205" i="5"/>
  <c r="S205" i="5"/>
  <c r="R325" i="5"/>
  <c r="S325" i="5"/>
  <c r="S310" i="5"/>
  <c r="R310" i="5"/>
  <c r="S303" i="5"/>
  <c r="R303" i="5"/>
  <c r="S66" i="5"/>
  <c r="R66" i="5"/>
  <c r="S244" i="5"/>
  <c r="R244" i="5"/>
  <c r="R139" i="5"/>
  <c r="S139" i="5"/>
  <c r="S158" i="5"/>
  <c r="R158" i="5"/>
  <c r="R131" i="5"/>
  <c r="S131" i="5"/>
  <c r="R109" i="5"/>
  <c r="S109" i="5"/>
  <c r="R93" i="5"/>
  <c r="S93" i="5"/>
  <c r="R484" i="5"/>
  <c r="S484" i="5"/>
  <c r="S461" i="5"/>
  <c r="R461" i="5"/>
  <c r="S438" i="5"/>
  <c r="R438" i="5"/>
  <c r="S307" i="5"/>
  <c r="R307" i="5"/>
  <c r="R219" i="5"/>
  <c r="S219" i="5"/>
  <c r="R149" i="5"/>
  <c r="S149" i="5"/>
  <c r="R38" i="5"/>
  <c r="S38" i="5"/>
  <c r="R552" i="5"/>
  <c r="S552" i="5"/>
  <c r="S435" i="5"/>
  <c r="R435" i="5"/>
  <c r="R263" i="5"/>
  <c r="S263" i="5"/>
  <c r="R329" i="5"/>
  <c r="S329" i="5"/>
  <c r="R269" i="5"/>
  <c r="S269" i="5"/>
  <c r="S166" i="5"/>
  <c r="R166" i="5"/>
  <c r="S110" i="5"/>
  <c r="R110" i="5"/>
  <c r="S19" i="5"/>
  <c r="R19" i="5"/>
  <c r="R465" i="5"/>
  <c r="S465" i="5"/>
  <c r="R453" i="5"/>
  <c r="S453" i="5"/>
  <c r="S423" i="5"/>
  <c r="R423" i="5"/>
  <c r="R300" i="5"/>
  <c r="S300" i="5"/>
  <c r="R191" i="5"/>
  <c r="S191" i="5"/>
  <c r="R140" i="5"/>
  <c r="S140" i="5"/>
  <c r="R59" i="5"/>
  <c r="S59" i="5"/>
  <c r="R532" i="5"/>
  <c r="S532" i="5"/>
  <c r="R422" i="5"/>
  <c r="S422" i="5"/>
  <c r="S414" i="5"/>
  <c r="R414" i="5"/>
  <c r="S317" i="5"/>
  <c r="R317" i="5"/>
  <c r="R246" i="5"/>
  <c r="S246" i="5"/>
  <c r="R145" i="5"/>
  <c r="S145" i="5"/>
  <c r="R87" i="5"/>
  <c r="S87" i="5"/>
  <c r="S539" i="5"/>
  <c r="R539" i="5"/>
  <c r="S449" i="5"/>
  <c r="R449" i="5"/>
  <c r="R393" i="5"/>
  <c r="S393" i="5"/>
  <c r="S411" i="5"/>
  <c r="R411" i="5"/>
  <c r="R293" i="5"/>
  <c r="S293" i="5"/>
  <c r="S186" i="5"/>
  <c r="R186" i="5"/>
  <c r="R125" i="5"/>
  <c r="S125" i="5"/>
  <c r="S27" i="5"/>
  <c r="R27" i="5"/>
  <c r="R508" i="5"/>
  <c r="S508" i="5"/>
  <c r="R410" i="5"/>
  <c r="S410" i="5"/>
  <c r="R404" i="5"/>
  <c r="S404" i="5"/>
  <c r="S309" i="5"/>
  <c r="R309" i="5"/>
  <c r="R213" i="5"/>
  <c r="S213" i="5"/>
  <c r="S188" i="5"/>
  <c r="R188" i="5"/>
  <c r="S95" i="5"/>
  <c r="R95" i="5"/>
  <c r="R544" i="5"/>
  <c r="S544" i="5"/>
  <c r="S510" i="5"/>
  <c r="R510" i="5"/>
  <c r="S412" i="5"/>
  <c r="R412" i="5"/>
  <c r="R372" i="5"/>
  <c r="S372" i="5"/>
  <c r="S229" i="5"/>
  <c r="R229" i="5"/>
  <c r="R199" i="5"/>
  <c r="S199" i="5"/>
  <c r="R137" i="5"/>
  <c r="S137" i="5"/>
  <c r="S25" i="5"/>
  <c r="R25" i="5"/>
  <c r="R262" i="5"/>
  <c r="S262" i="5"/>
  <c r="R267" i="5"/>
  <c r="S267" i="5"/>
  <c r="S405" i="5"/>
  <c r="R405" i="5"/>
  <c r="R511" i="5"/>
  <c r="S511" i="5"/>
  <c r="R490" i="5"/>
  <c r="S490" i="5"/>
  <c r="R537" i="5"/>
  <c r="S537" i="5"/>
  <c r="S65" i="5"/>
  <c r="R65" i="5"/>
  <c r="R49" i="5"/>
  <c r="S49" i="5"/>
  <c r="R54" i="5"/>
  <c r="S54" i="5"/>
  <c r="R528" i="5"/>
  <c r="S528" i="5"/>
  <c r="R428" i="5"/>
  <c r="S428" i="5"/>
  <c r="S122" i="5"/>
  <c r="R122" i="5"/>
  <c r="R78" i="5"/>
  <c r="S78" i="5"/>
  <c r="S37" i="5"/>
  <c r="R37" i="5"/>
  <c r="S34" i="5"/>
  <c r="R34" i="5"/>
  <c r="R39" i="5"/>
  <c r="S39" i="5"/>
  <c r="S505" i="5"/>
  <c r="R505" i="5"/>
  <c r="S437" i="5"/>
  <c r="R437" i="5"/>
  <c r="S381" i="5"/>
  <c r="R381" i="5"/>
  <c r="R396" i="5"/>
  <c r="S396" i="5"/>
  <c r="R281" i="5"/>
  <c r="S281" i="5"/>
  <c r="R251" i="5"/>
  <c r="S251" i="5"/>
  <c r="S98" i="5"/>
  <c r="R98" i="5"/>
  <c r="R46" i="5"/>
  <c r="S46" i="5"/>
  <c r="S481" i="5"/>
  <c r="R481" i="5"/>
  <c r="R337" i="5"/>
  <c r="S337" i="5"/>
  <c r="R388" i="5"/>
  <c r="S388" i="5"/>
  <c r="R287" i="5"/>
  <c r="S287" i="5"/>
  <c r="S101" i="5"/>
  <c r="R101" i="5"/>
  <c r="S163" i="5"/>
  <c r="R163" i="5"/>
  <c r="R91" i="5"/>
  <c r="S91" i="5"/>
  <c r="R429" i="5"/>
  <c r="S429" i="5"/>
  <c r="S342" i="5"/>
  <c r="R342" i="5"/>
  <c r="S359" i="5"/>
  <c r="R359" i="5"/>
  <c r="S386" i="5"/>
  <c r="R386" i="5"/>
  <c r="S259" i="5"/>
  <c r="R259" i="5"/>
  <c r="S238" i="5"/>
  <c r="R238" i="5"/>
  <c r="R154" i="5"/>
  <c r="S154" i="5"/>
  <c r="S35" i="5"/>
  <c r="R35" i="5"/>
  <c r="S447" i="5"/>
  <c r="R447" i="5"/>
  <c r="S252" i="5"/>
  <c r="R252" i="5"/>
  <c r="S379" i="5"/>
  <c r="R379" i="5"/>
  <c r="R278" i="5"/>
  <c r="S278" i="5"/>
  <c r="S237" i="5"/>
  <c r="R237" i="5"/>
  <c r="S92" i="5"/>
  <c r="R92" i="5"/>
  <c r="S77" i="5"/>
  <c r="R77" i="5"/>
  <c r="R403" i="5"/>
  <c r="S403" i="5"/>
  <c r="S520" i="5"/>
  <c r="R520" i="5"/>
  <c r="S421" i="5"/>
  <c r="R421" i="5"/>
  <c r="R380" i="5"/>
  <c r="S380" i="5"/>
  <c r="S253" i="5"/>
  <c r="R253" i="5"/>
  <c r="S235" i="5"/>
  <c r="R235" i="5"/>
  <c r="S151" i="5"/>
  <c r="R151" i="5"/>
  <c r="S30" i="5"/>
  <c r="R30" i="5"/>
  <c r="R559" i="5"/>
  <c r="S559" i="5"/>
  <c r="R524" i="5"/>
  <c r="S524" i="5"/>
  <c r="R365" i="5"/>
  <c r="S365" i="5"/>
  <c r="S275" i="5"/>
  <c r="R275" i="5"/>
  <c r="S231" i="5"/>
  <c r="R231" i="5"/>
  <c r="R155" i="5"/>
  <c r="S155" i="5"/>
  <c r="S71" i="5"/>
  <c r="R71" i="5"/>
  <c r="R558" i="5"/>
  <c r="S558" i="5"/>
  <c r="S486" i="5"/>
  <c r="R486" i="5"/>
  <c r="R377" i="5"/>
  <c r="S377" i="5"/>
  <c r="S289" i="5"/>
  <c r="R289" i="5"/>
  <c r="S323" i="5"/>
  <c r="R323" i="5"/>
  <c r="S178" i="5"/>
  <c r="R178" i="5"/>
  <c r="S108" i="5"/>
  <c r="R108" i="5"/>
  <c r="S47" i="5"/>
  <c r="R47" i="5"/>
  <c r="S212" i="5"/>
  <c r="R212" i="5"/>
  <c r="R148" i="5"/>
  <c r="S148" i="5"/>
  <c r="S193" i="5"/>
  <c r="R193" i="5"/>
  <c r="S260" i="5"/>
  <c r="R260" i="5"/>
  <c r="R22" i="5"/>
  <c r="S22" i="5"/>
  <c r="R560" i="5"/>
  <c r="S560" i="5"/>
  <c r="S182" i="5"/>
  <c r="R182" i="5"/>
  <c r="S462" i="5"/>
  <c r="R462" i="5"/>
  <c r="R97" i="5"/>
  <c r="S97" i="5"/>
  <c r="R62" i="5"/>
  <c r="S62" i="5"/>
  <c r="S84" i="5"/>
  <c r="R84" i="5"/>
  <c r="S458" i="5"/>
  <c r="R458" i="5"/>
  <c r="R513" i="5"/>
  <c r="S513" i="5"/>
  <c r="R507" i="5"/>
  <c r="S507" i="5"/>
  <c r="S551" i="5"/>
  <c r="R551" i="5"/>
  <c r="S533" i="5"/>
  <c r="R533" i="5"/>
  <c r="R506" i="5"/>
  <c r="S506" i="5"/>
  <c r="R406" i="5"/>
  <c r="S406" i="5"/>
  <c r="S371" i="5"/>
  <c r="R371" i="5"/>
  <c r="R218" i="5"/>
  <c r="S218" i="5"/>
  <c r="R198" i="5"/>
  <c r="S198" i="5"/>
  <c r="S135" i="5"/>
  <c r="R135" i="5"/>
  <c r="R43" i="5"/>
  <c r="S43" i="5"/>
  <c r="S545" i="5"/>
  <c r="R545" i="5"/>
  <c r="S519" i="5"/>
  <c r="R519" i="5"/>
  <c r="S354" i="5"/>
  <c r="R354" i="5"/>
  <c r="S265" i="5"/>
  <c r="R265" i="5"/>
  <c r="S217" i="5"/>
  <c r="R217" i="5"/>
  <c r="R147" i="5"/>
  <c r="S147" i="5"/>
  <c r="S81" i="5"/>
  <c r="R81" i="5"/>
  <c r="R466" i="5"/>
  <c r="S466" i="5"/>
  <c r="S492" i="5"/>
  <c r="R492" i="5"/>
  <c r="S398" i="5"/>
  <c r="R398" i="5"/>
  <c r="S334" i="5"/>
  <c r="R334" i="5"/>
  <c r="R196" i="5"/>
  <c r="S196" i="5"/>
  <c r="R181" i="5"/>
  <c r="S181" i="5"/>
  <c r="S123" i="5"/>
  <c r="R123" i="5"/>
  <c r="R23" i="5"/>
  <c r="S23" i="5"/>
  <c r="S541" i="5"/>
  <c r="R541" i="5"/>
  <c r="S503" i="5"/>
  <c r="R503" i="5"/>
  <c r="R343" i="5"/>
  <c r="S343" i="5"/>
  <c r="R243" i="5"/>
  <c r="S243" i="5"/>
  <c r="S206" i="5"/>
  <c r="R206" i="5"/>
  <c r="R129" i="5"/>
  <c r="S129" i="5"/>
  <c r="S70" i="5"/>
  <c r="R70" i="5"/>
  <c r="S557" i="5"/>
  <c r="R557" i="5"/>
  <c r="S489" i="5"/>
  <c r="R489" i="5"/>
  <c r="S395" i="5"/>
  <c r="R395" i="5"/>
  <c r="R306" i="5"/>
  <c r="S306" i="5"/>
  <c r="S331" i="5"/>
  <c r="R331" i="5"/>
  <c r="R202" i="5"/>
  <c r="S202" i="5"/>
  <c r="R117" i="5"/>
  <c r="S117" i="5"/>
  <c r="R20" i="5"/>
  <c r="S20" i="5"/>
  <c r="R536" i="5"/>
  <c r="S536" i="5"/>
  <c r="R500" i="5"/>
  <c r="S500" i="5"/>
  <c r="S314" i="5"/>
  <c r="R314" i="5"/>
  <c r="R223" i="5"/>
  <c r="S223" i="5"/>
  <c r="S204" i="5"/>
  <c r="R204" i="5"/>
  <c r="S126" i="5"/>
  <c r="R126" i="5"/>
  <c r="S69" i="5"/>
  <c r="R69" i="5"/>
  <c r="S550" i="5"/>
  <c r="R550" i="5"/>
  <c r="S446" i="5"/>
  <c r="R446" i="5"/>
  <c r="S327" i="5"/>
  <c r="R327" i="5"/>
  <c r="R341" i="5"/>
  <c r="S341" i="5"/>
  <c r="R284" i="5"/>
  <c r="S284" i="5"/>
  <c r="R175" i="5"/>
  <c r="S175" i="5"/>
  <c r="S44" i="5"/>
  <c r="R44" i="5"/>
  <c r="R311" i="5"/>
  <c r="S311" i="5"/>
  <c r="S222" i="5"/>
  <c r="R222" i="5"/>
  <c r="S215" i="5"/>
  <c r="R215" i="5"/>
  <c r="R209" i="5"/>
  <c r="S209" i="5"/>
  <c r="S333" i="5"/>
  <c r="R333" i="5"/>
  <c r="S127" i="5"/>
  <c r="R127" i="5"/>
  <c r="R116" i="5"/>
  <c r="S116" i="5"/>
  <c r="S439" i="5"/>
  <c r="R439" i="5"/>
  <c r="S113" i="5"/>
  <c r="R113" i="5"/>
  <c r="R167" i="5"/>
  <c r="S167" i="5"/>
  <c r="S543" i="5"/>
  <c r="R543" i="5"/>
  <c r="S362" i="5"/>
  <c r="R362" i="5"/>
  <c r="S493" i="5"/>
  <c r="R493" i="5"/>
  <c r="S470" i="5"/>
  <c r="R470" i="5"/>
  <c r="R434" i="5"/>
  <c r="S434" i="5"/>
  <c r="R549" i="5"/>
  <c r="S549" i="5"/>
  <c r="R482" i="5"/>
  <c r="S482" i="5"/>
  <c r="R374" i="5"/>
  <c r="S374" i="5"/>
  <c r="S273" i="5"/>
  <c r="R273" i="5"/>
  <c r="R316" i="5"/>
  <c r="S316" i="5"/>
  <c r="S170" i="5"/>
  <c r="R170" i="5"/>
  <c r="S99" i="5"/>
  <c r="R99" i="5"/>
  <c r="S45" i="5"/>
  <c r="R45" i="5"/>
  <c r="S529" i="5"/>
  <c r="R529" i="5"/>
  <c r="S475" i="5"/>
  <c r="R475" i="5"/>
  <c r="R279" i="5"/>
  <c r="S279" i="5"/>
  <c r="R173" i="5"/>
  <c r="S173" i="5"/>
  <c r="R165" i="5"/>
  <c r="S165" i="5"/>
  <c r="R118" i="5"/>
  <c r="S118" i="5"/>
  <c r="R57" i="5"/>
  <c r="S57" i="5"/>
  <c r="R460" i="5"/>
  <c r="S460" i="5"/>
  <c r="S469" i="5"/>
  <c r="R469" i="5"/>
  <c r="S358" i="5"/>
  <c r="R358" i="5"/>
  <c r="R357" i="5"/>
  <c r="S357" i="5"/>
  <c r="R302" i="5"/>
  <c r="S302" i="5"/>
  <c r="R185" i="5"/>
  <c r="S185" i="5"/>
  <c r="S106" i="5"/>
  <c r="R106" i="5"/>
  <c r="S31" i="5"/>
  <c r="R31" i="5"/>
  <c r="R509" i="5"/>
  <c r="S509" i="5"/>
  <c r="R471" i="5"/>
  <c r="S471" i="5"/>
  <c r="S245" i="5"/>
  <c r="R245" i="5"/>
  <c r="S330" i="5"/>
  <c r="R330" i="5"/>
  <c r="S230" i="5"/>
  <c r="R230" i="5"/>
  <c r="R102" i="5"/>
  <c r="S102" i="5"/>
  <c r="R60" i="5"/>
  <c r="S60" i="5"/>
  <c r="S430" i="5"/>
  <c r="R430" i="5"/>
  <c r="R457" i="5"/>
  <c r="S457" i="5"/>
  <c r="S347" i="5"/>
  <c r="R347" i="5"/>
  <c r="S348" i="5"/>
  <c r="R348" i="5"/>
  <c r="R292" i="5"/>
  <c r="S292" i="5"/>
  <c r="S180" i="5"/>
  <c r="R180" i="5"/>
  <c r="S94" i="5"/>
  <c r="R94" i="5"/>
  <c r="S21" i="5"/>
  <c r="R21" i="5"/>
  <c r="S497" i="5"/>
  <c r="R497" i="5"/>
  <c r="S463" i="5"/>
  <c r="R463" i="5"/>
  <c r="S441" i="5"/>
  <c r="R441" i="5"/>
  <c r="R321" i="5"/>
  <c r="S321" i="5"/>
  <c r="R225" i="5"/>
  <c r="S225" i="5"/>
  <c r="R159" i="5"/>
  <c r="S159" i="5"/>
  <c r="S55" i="5"/>
  <c r="R55" i="5"/>
  <c r="S498" i="5"/>
  <c r="R498" i="5"/>
  <c r="S369" i="5"/>
  <c r="R369" i="5"/>
  <c r="R402" i="5"/>
  <c r="S402" i="5"/>
  <c r="R297" i="5"/>
  <c r="S297" i="5"/>
  <c r="R203" i="5"/>
  <c r="S203" i="5"/>
  <c r="R174" i="5"/>
  <c r="S174" i="5"/>
  <c r="R86" i="5"/>
  <c r="S86" i="5"/>
  <c r="S261" i="5"/>
  <c r="R261" i="5"/>
  <c r="R361" i="5"/>
  <c r="S361" i="5"/>
  <c r="S356" i="5"/>
  <c r="R356" i="5"/>
  <c r="R349" i="5"/>
  <c r="S349" i="5"/>
  <c r="R332" i="5"/>
  <c r="S332" i="5"/>
  <c r="S340" i="5"/>
  <c r="R340" i="5"/>
  <c r="R487" i="5"/>
  <c r="S487" i="5"/>
  <c r="S494" i="5"/>
  <c r="R494" i="5"/>
  <c r="R454" i="5"/>
  <c r="S454" i="5"/>
  <c r="R478" i="5"/>
  <c r="S478" i="5"/>
  <c r="R517" i="5"/>
  <c r="S517" i="5"/>
  <c r="R366" i="5"/>
  <c r="S366" i="5"/>
  <c r="S401" i="5"/>
  <c r="R401" i="5"/>
  <c r="S367" i="5"/>
  <c r="R367" i="5"/>
  <c r="S419" i="5"/>
  <c r="R419" i="5"/>
  <c r="S555" i="5"/>
  <c r="R555" i="5"/>
  <c r="S436" i="5"/>
  <c r="R436" i="5"/>
  <c r="S322" i="5"/>
  <c r="R322" i="5"/>
  <c r="S339" i="5"/>
  <c r="R339" i="5"/>
  <c r="R276" i="5"/>
  <c r="S276" i="5"/>
  <c r="S172" i="5"/>
  <c r="R172" i="5"/>
  <c r="S111" i="5"/>
  <c r="R111" i="5"/>
  <c r="AG11" i="5"/>
  <c r="Q11" i="5"/>
  <c r="W11" i="5"/>
  <c r="R479" i="5"/>
  <c r="S479" i="5"/>
  <c r="S455" i="5"/>
  <c r="R455" i="5"/>
  <c r="S431" i="5"/>
  <c r="R431" i="5"/>
  <c r="R305" i="5"/>
  <c r="S305" i="5"/>
  <c r="S210" i="5"/>
  <c r="R210" i="5"/>
  <c r="S146" i="5"/>
  <c r="R146" i="5"/>
  <c r="R67" i="5"/>
  <c r="S67" i="5"/>
  <c r="S547" i="5"/>
  <c r="R547" i="5"/>
  <c r="R425" i="5"/>
  <c r="S425" i="5"/>
  <c r="R417" i="5"/>
  <c r="S417" i="5"/>
  <c r="R319" i="5"/>
  <c r="S319" i="5"/>
  <c r="S258" i="5"/>
  <c r="R258" i="5"/>
  <c r="R161" i="5"/>
  <c r="S161" i="5"/>
  <c r="S90" i="5"/>
  <c r="R90" i="5"/>
  <c r="S540" i="5"/>
  <c r="R540" i="5"/>
  <c r="R450" i="5"/>
  <c r="S450" i="5"/>
  <c r="R433" i="5"/>
  <c r="S433" i="5"/>
  <c r="R418" i="5"/>
  <c r="S418" i="5"/>
  <c r="R298" i="5"/>
  <c r="S298" i="5"/>
  <c r="S189" i="5"/>
  <c r="R189" i="5"/>
  <c r="S138" i="5"/>
  <c r="R138" i="5"/>
  <c r="S51" i="5"/>
  <c r="R51" i="5"/>
  <c r="R515" i="5"/>
  <c r="S515" i="5"/>
  <c r="S420" i="5"/>
  <c r="R420" i="5"/>
  <c r="R413" i="5"/>
  <c r="S413" i="5"/>
  <c r="R315" i="5"/>
  <c r="S315" i="5"/>
  <c r="S227" i="5"/>
  <c r="R227" i="5"/>
  <c r="R130" i="5"/>
  <c r="S130" i="5"/>
  <c r="R85" i="5"/>
  <c r="S85" i="5"/>
  <c r="S531" i="5"/>
  <c r="R531" i="5"/>
  <c r="S445" i="5"/>
  <c r="R445" i="5"/>
  <c r="R390" i="5"/>
  <c r="S390" i="5"/>
  <c r="S409" i="5"/>
  <c r="R409" i="5"/>
  <c r="S290" i="5"/>
  <c r="R290" i="5"/>
  <c r="S177" i="5"/>
  <c r="R177" i="5"/>
  <c r="S114" i="5"/>
  <c r="R114" i="5"/>
  <c r="R52" i="5"/>
  <c r="S52" i="5"/>
  <c r="R553" i="5"/>
  <c r="S553" i="5"/>
  <c r="S523" i="5"/>
  <c r="R523" i="5"/>
  <c r="S363" i="5"/>
  <c r="R363" i="5"/>
  <c r="S274" i="5"/>
  <c r="R274" i="5"/>
  <c r="S226" i="5"/>
  <c r="R226" i="5"/>
  <c r="R150" i="5"/>
  <c r="S150" i="5"/>
  <c r="R73" i="5"/>
  <c r="S73" i="5"/>
  <c r="S476" i="5"/>
  <c r="R476" i="5"/>
  <c r="S266" i="5"/>
  <c r="R266" i="5"/>
  <c r="S28" i="5"/>
  <c r="R28" i="5"/>
  <c r="S133" i="5"/>
  <c r="R133" i="5"/>
  <c r="R74" i="5"/>
  <c r="S74" i="5"/>
  <c r="R207" i="5"/>
  <c r="S207" i="5"/>
  <c r="R239" i="5"/>
  <c r="S239" i="5"/>
  <c r="S295" i="5"/>
  <c r="R295" i="5"/>
  <c r="R221" i="5"/>
  <c r="S221" i="5"/>
  <c r="R143" i="5"/>
  <c r="S143" i="5"/>
  <c r="S335" i="5"/>
  <c r="R335" i="5"/>
  <c r="S353" i="5"/>
  <c r="R353" i="5"/>
  <c r="S389" i="5"/>
  <c r="R389" i="5"/>
  <c r="R355" i="5"/>
  <c r="S355" i="5"/>
  <c r="R254" i="5"/>
  <c r="S254" i="5"/>
  <c r="R324" i="5"/>
  <c r="S324" i="5"/>
  <c r="S491" i="5"/>
  <c r="R491" i="5"/>
  <c r="R345" i="5"/>
  <c r="S345" i="5"/>
  <c r="R399" i="5"/>
  <c r="S399" i="5"/>
  <c r="R294" i="5"/>
  <c r="S294" i="5"/>
  <c r="S187" i="5"/>
  <c r="R187" i="5"/>
  <c r="R169" i="5"/>
  <c r="S169" i="5"/>
  <c r="R76" i="5"/>
  <c r="S76" i="5"/>
  <c r="R499" i="5"/>
  <c r="S499" i="5"/>
  <c r="S426" i="5"/>
  <c r="R426" i="5"/>
  <c r="R378" i="5"/>
  <c r="S378" i="5"/>
  <c r="S391" i="5"/>
  <c r="R391" i="5"/>
  <c r="S271" i="5"/>
  <c r="R271" i="5"/>
  <c r="S250" i="5"/>
  <c r="R250" i="5"/>
  <c r="R53" i="5"/>
  <c r="S53" i="5"/>
  <c r="S41" i="5"/>
  <c r="R41" i="5"/>
  <c r="R451" i="5"/>
  <c r="S451" i="5"/>
  <c r="R301" i="5"/>
  <c r="S301" i="5"/>
  <c r="S382" i="5"/>
  <c r="R382" i="5"/>
  <c r="S283" i="5"/>
  <c r="R283" i="5"/>
  <c r="R242" i="5"/>
  <c r="S242" i="5"/>
  <c r="R115" i="5"/>
  <c r="S115" i="5"/>
  <c r="R79" i="5"/>
  <c r="S79" i="5"/>
  <c r="S427" i="5"/>
  <c r="R427" i="5"/>
  <c r="R197" i="5"/>
  <c r="S197" i="5"/>
  <c r="S318" i="5"/>
  <c r="R318" i="5"/>
  <c r="S385" i="5"/>
  <c r="R385" i="5"/>
  <c r="R255" i="5"/>
  <c r="S255" i="5"/>
  <c r="S236" i="5"/>
  <c r="R236" i="5"/>
  <c r="R153" i="5"/>
  <c r="S153" i="5"/>
  <c r="S33" i="5"/>
  <c r="R33" i="5"/>
  <c r="R268" i="5"/>
  <c r="S268" i="5"/>
  <c r="S527" i="5"/>
  <c r="R527" i="5"/>
  <c r="R373" i="5"/>
  <c r="S373" i="5"/>
  <c r="S277" i="5"/>
  <c r="R277" i="5"/>
  <c r="S234" i="5"/>
  <c r="R234" i="5"/>
  <c r="S156" i="5"/>
  <c r="R156" i="5"/>
  <c r="S75" i="5"/>
  <c r="R75" i="5"/>
  <c r="R556" i="5"/>
  <c r="S556" i="5"/>
  <c r="S514" i="5"/>
  <c r="R514" i="5"/>
  <c r="R415" i="5"/>
  <c r="S415" i="5"/>
  <c r="S375" i="5"/>
  <c r="R375" i="5"/>
  <c r="R247" i="5"/>
  <c r="S247" i="5"/>
  <c r="S201" i="5"/>
  <c r="R201" i="5"/>
  <c r="R142" i="5"/>
  <c r="S142" i="5"/>
  <c r="S29" i="5"/>
  <c r="R29" i="5"/>
  <c r="S535" i="5"/>
  <c r="R535" i="5"/>
  <c r="R485" i="5"/>
  <c r="S485" i="5"/>
  <c r="S308" i="5"/>
  <c r="R308" i="5"/>
  <c r="S220" i="5"/>
  <c r="R220" i="5"/>
  <c r="S195" i="5"/>
  <c r="R195" i="5"/>
  <c r="R124" i="5"/>
  <c r="S124" i="5"/>
  <c r="R68" i="5"/>
  <c r="S68" i="5"/>
  <c r="AP525" i="5"/>
  <c r="AR525" i="5" s="1"/>
  <c r="AP23" i="5"/>
  <c r="AR23" i="5" s="1"/>
  <c r="AP462" i="5"/>
  <c r="AQ462" i="5" s="1"/>
  <c r="AP483" i="5"/>
  <c r="AQ483" i="5" s="1"/>
  <c r="AP244" i="5"/>
  <c r="AQ244" i="5" s="1"/>
  <c r="AP66" i="5"/>
  <c r="AR66" i="5" s="1"/>
  <c r="AP350" i="5"/>
  <c r="AR350" i="5" s="1"/>
  <c r="AP21" i="5"/>
  <c r="AR21" i="5" s="1"/>
  <c r="AP118" i="5"/>
  <c r="AR118" i="5" s="1"/>
  <c r="AP219" i="5"/>
  <c r="AR219" i="5" s="1"/>
  <c r="AP345" i="5"/>
  <c r="AR345" i="5" s="1"/>
  <c r="AP498" i="5"/>
  <c r="AQ498" i="5" s="1"/>
  <c r="AP496" i="5"/>
  <c r="AQ496" i="5" s="1"/>
  <c r="AP392" i="5"/>
  <c r="AR392" i="5" s="1"/>
  <c r="AP428" i="5"/>
  <c r="AR428" i="5" s="1"/>
  <c r="AP194" i="5"/>
  <c r="AQ194" i="5" s="1"/>
  <c r="AP524" i="5"/>
  <c r="AQ524" i="5" s="1"/>
  <c r="AP142" i="5"/>
  <c r="AR142" i="5" s="1"/>
  <c r="AP544" i="5"/>
  <c r="AR544" i="5" s="1"/>
  <c r="AP93" i="5"/>
  <c r="AR93" i="5" s="1"/>
  <c r="AP372" i="5"/>
  <c r="AR372" i="5" s="1"/>
  <c r="AP436" i="5"/>
  <c r="AQ436" i="5" s="1"/>
  <c r="AP158" i="5"/>
  <c r="AR158" i="5" s="1"/>
  <c r="AP45" i="5"/>
  <c r="AQ45" i="5" s="1"/>
  <c r="AP237" i="5"/>
  <c r="AQ237" i="5" s="1"/>
  <c r="AP34" i="5"/>
  <c r="AQ34" i="5" s="1"/>
  <c r="AP368" i="5"/>
  <c r="AQ368" i="5" s="1"/>
  <c r="AP330" i="5"/>
  <c r="AQ330" i="5" s="1"/>
  <c r="AP205" i="5"/>
  <c r="AQ205" i="5" s="1"/>
  <c r="AP522" i="5"/>
  <c r="AQ522" i="5" s="1"/>
  <c r="AP302" i="5"/>
  <c r="AR302" i="5" s="1"/>
  <c r="AP190" i="5"/>
  <c r="AR190" i="5" s="1"/>
  <c r="AP337" i="5"/>
  <c r="AQ337" i="5" s="1"/>
  <c r="AP22" i="5"/>
  <c r="AR22" i="5" s="1"/>
  <c r="AP257" i="5"/>
  <c r="AR257" i="5" s="1"/>
  <c r="AP558" i="5"/>
  <c r="AQ558" i="5" s="1"/>
  <c r="AP278" i="5"/>
  <c r="AQ278" i="5" s="1"/>
  <c r="AP438" i="5"/>
  <c r="AR438" i="5" s="1"/>
  <c r="AP477" i="5"/>
  <c r="AQ477" i="5" s="1"/>
  <c r="AP82" i="5"/>
  <c r="AQ82" i="5" s="1"/>
  <c r="AP20" i="5"/>
  <c r="AQ20" i="5" s="1"/>
  <c r="AP184" i="5"/>
  <c r="AR184" i="5" s="1"/>
  <c r="AP545" i="5"/>
  <c r="AR545" i="5" s="1"/>
  <c r="AP402" i="5"/>
  <c r="AR402" i="5" s="1"/>
  <c r="AP444" i="5"/>
  <c r="AR444" i="5" s="1"/>
  <c r="AP259" i="5"/>
  <c r="AR259" i="5" s="1"/>
  <c r="AP417" i="5"/>
  <c r="AQ417" i="5" s="1"/>
  <c r="AP460" i="5"/>
  <c r="AR460" i="5" s="1"/>
  <c r="AP144" i="5"/>
  <c r="AQ144" i="5" s="1"/>
  <c r="AP165" i="5"/>
  <c r="AQ165" i="5" s="1"/>
  <c r="AP542" i="5"/>
  <c r="AR542" i="5" s="1"/>
  <c r="AP262" i="5"/>
  <c r="AQ262" i="5" s="1"/>
  <c r="AP87" i="5"/>
  <c r="AR87" i="5" s="1"/>
  <c r="AP103" i="5"/>
  <c r="AQ103" i="5" s="1"/>
  <c r="AP211" i="5"/>
  <c r="AR211" i="5" s="1"/>
  <c r="AP378" i="5"/>
  <c r="AQ378" i="5" s="1"/>
  <c r="AP138" i="5"/>
  <c r="AQ138" i="5" s="1"/>
  <c r="AP493" i="5"/>
  <c r="AQ493" i="5" s="1"/>
  <c r="AP495" i="5"/>
  <c r="AQ495" i="5" s="1"/>
  <c r="AP104" i="5"/>
  <c r="AR104" i="5" s="1"/>
  <c r="AP384" i="5"/>
  <c r="AQ384" i="5" s="1"/>
  <c r="AP261" i="5"/>
  <c r="AQ261" i="5" s="1"/>
  <c r="AP70" i="5"/>
  <c r="AQ70" i="5" s="1"/>
  <c r="AP56" i="5"/>
  <c r="AQ56" i="5" s="1"/>
  <c r="AP397" i="5"/>
  <c r="AQ397" i="5" s="1"/>
  <c r="AP457" i="5"/>
  <c r="AR457" i="5" s="1"/>
  <c r="AP370" i="5"/>
  <c r="AR370" i="5" s="1"/>
  <c r="AP454" i="5"/>
  <c r="AR454" i="5" s="1"/>
  <c r="AP318" i="5"/>
  <c r="AR318" i="5" s="1"/>
  <c r="U312" i="5"/>
  <c r="V312" i="5"/>
  <c r="AN150" i="5"/>
  <c r="AO150" i="5"/>
  <c r="AO399" i="5"/>
  <c r="AN399" i="5"/>
  <c r="AO381" i="5"/>
  <c r="AN381" i="5"/>
  <c r="AO60" i="5"/>
  <c r="AN60" i="5"/>
  <c r="AO408" i="5"/>
  <c r="AN408" i="5"/>
  <c r="U427" i="5"/>
  <c r="V427" i="5"/>
  <c r="U409" i="5"/>
  <c r="V409" i="5"/>
  <c r="U271" i="5"/>
  <c r="V271" i="5"/>
  <c r="V557" i="5"/>
  <c r="U557" i="5"/>
  <c r="AN59" i="5"/>
  <c r="AO59" i="5"/>
  <c r="AP533" i="5"/>
  <c r="AQ533" i="5" s="1"/>
  <c r="AP404" i="5"/>
  <c r="AR404" i="5" s="1"/>
  <c r="AP488" i="5"/>
  <c r="AR488" i="5" s="1"/>
  <c r="AP291" i="5"/>
  <c r="AR291" i="5" s="1"/>
  <c r="AP260" i="5"/>
  <c r="AQ260" i="5" s="1"/>
  <c r="AP37" i="5"/>
  <c r="AR37" i="5" s="1"/>
  <c r="AP422" i="5"/>
  <c r="AQ422" i="5" s="1"/>
  <c r="AP226" i="5"/>
  <c r="AQ226" i="5" s="1"/>
  <c r="AP420" i="5"/>
  <c r="AR420" i="5" s="1"/>
  <c r="U384" i="5"/>
  <c r="V384" i="5"/>
  <c r="AN254" i="5"/>
  <c r="AO254" i="5"/>
  <c r="AO361" i="5"/>
  <c r="AN361" i="5"/>
  <c r="AO478" i="5"/>
  <c r="AN478" i="5"/>
  <c r="AN398" i="5"/>
  <c r="AO398" i="5"/>
  <c r="AN511" i="5"/>
  <c r="AO511" i="5"/>
  <c r="AO271" i="5"/>
  <c r="AN271" i="5"/>
  <c r="AN503" i="5"/>
  <c r="AO503" i="5"/>
  <c r="AN373" i="5"/>
  <c r="AO373" i="5"/>
  <c r="AO146" i="5"/>
  <c r="AN146" i="5"/>
  <c r="AO401" i="5"/>
  <c r="AN401" i="5"/>
  <c r="AN143" i="5"/>
  <c r="AO143" i="5"/>
  <c r="AN441" i="5"/>
  <c r="AO441" i="5"/>
  <c r="AN226" i="5"/>
  <c r="AO226" i="5"/>
  <c r="AO542" i="5"/>
  <c r="AN542" i="5"/>
  <c r="AN377" i="5"/>
  <c r="AO377" i="5"/>
  <c r="AO190" i="5"/>
  <c r="AN190" i="5"/>
  <c r="AO553" i="5"/>
  <c r="AN553" i="5"/>
  <c r="AN321" i="5"/>
  <c r="AO321" i="5"/>
  <c r="AN21" i="5"/>
  <c r="AO21" i="5"/>
  <c r="AN196" i="5"/>
  <c r="AO196" i="5"/>
  <c r="AN36" i="5"/>
  <c r="AO36" i="5"/>
  <c r="AN257" i="5"/>
  <c r="AO257" i="5"/>
  <c r="AM111" i="4"/>
  <c r="AN111" i="4" s="1"/>
  <c r="W111" i="4"/>
  <c r="Y111" i="4" s="1"/>
  <c r="AN376" i="5"/>
  <c r="AO376" i="5"/>
  <c r="AM93" i="4"/>
  <c r="AN93" i="4" s="1"/>
  <c r="W93" i="4"/>
  <c r="U88" i="5"/>
  <c r="V88" i="5"/>
  <c r="AN248" i="5"/>
  <c r="AO248" i="5"/>
  <c r="AO57" i="5"/>
  <c r="AN57" i="5"/>
  <c r="U24" i="5"/>
  <c r="V24" i="5"/>
  <c r="AO280" i="5"/>
  <c r="AN280" i="5"/>
  <c r="U376" i="5"/>
  <c r="V376" i="5"/>
  <c r="AM40" i="4"/>
  <c r="AN40" i="4" s="1"/>
  <c r="W40" i="4"/>
  <c r="Y40" i="4" s="1"/>
  <c r="Z40" i="4" s="1"/>
  <c r="AF40" i="4" s="1"/>
  <c r="V309" i="5"/>
  <c r="U309" i="5"/>
  <c r="V497" i="5"/>
  <c r="U497" i="5"/>
  <c r="U490" i="5"/>
  <c r="V490" i="5"/>
  <c r="V556" i="5"/>
  <c r="U556" i="5"/>
  <c r="V541" i="5"/>
  <c r="U541" i="5"/>
  <c r="U421" i="5"/>
  <c r="V421" i="5"/>
  <c r="V370" i="5"/>
  <c r="U370" i="5"/>
  <c r="U404" i="5"/>
  <c r="V404" i="5"/>
  <c r="V551" i="5"/>
  <c r="U551" i="5"/>
  <c r="V483" i="5"/>
  <c r="U483" i="5"/>
  <c r="U365" i="5"/>
  <c r="V365" i="5"/>
  <c r="V343" i="5"/>
  <c r="U343" i="5"/>
  <c r="U241" i="5"/>
  <c r="V241" i="5"/>
  <c r="U137" i="5"/>
  <c r="V137" i="5"/>
  <c r="V543" i="5"/>
  <c r="U543" i="5"/>
  <c r="V358" i="5"/>
  <c r="U358" i="5"/>
  <c r="V294" i="5"/>
  <c r="U294" i="5"/>
  <c r="U335" i="5"/>
  <c r="V335" i="5"/>
  <c r="U265" i="5"/>
  <c r="V265" i="5"/>
  <c r="U130" i="5"/>
  <c r="V130" i="5"/>
  <c r="U527" i="5"/>
  <c r="V527" i="5"/>
  <c r="U333" i="5"/>
  <c r="V333" i="5"/>
  <c r="V361" i="5"/>
  <c r="U361" i="5"/>
  <c r="U330" i="5"/>
  <c r="V330" i="5"/>
  <c r="V263" i="5"/>
  <c r="U263" i="5"/>
  <c r="U119" i="5"/>
  <c r="V119" i="5"/>
  <c r="V545" i="5"/>
  <c r="U545" i="5"/>
  <c r="U501" i="5"/>
  <c r="V501" i="5"/>
  <c r="V355" i="5"/>
  <c r="U355" i="5"/>
  <c r="U326" i="5"/>
  <c r="V326" i="5"/>
  <c r="U260" i="5"/>
  <c r="V260" i="5"/>
  <c r="U115" i="5"/>
  <c r="V115" i="5"/>
  <c r="U505" i="5"/>
  <c r="V505" i="5"/>
  <c r="U369" i="5"/>
  <c r="V369" i="5"/>
  <c r="U258" i="5"/>
  <c r="V258" i="5"/>
  <c r="U206" i="5"/>
  <c r="V206" i="5"/>
  <c r="U36" i="5"/>
  <c r="V36" i="5"/>
  <c r="U463" i="5"/>
  <c r="V463" i="5"/>
  <c r="V499" i="5"/>
  <c r="U499" i="5"/>
  <c r="U341" i="5"/>
  <c r="V341" i="5"/>
  <c r="V299" i="5"/>
  <c r="U299" i="5"/>
  <c r="V215" i="5"/>
  <c r="U215" i="5"/>
  <c r="V63" i="5"/>
  <c r="U63" i="5"/>
  <c r="U517" i="5"/>
  <c r="V517" i="5"/>
  <c r="U385" i="5"/>
  <c r="V385" i="5"/>
  <c r="V292" i="5"/>
  <c r="U292" i="5"/>
  <c r="U211" i="5"/>
  <c r="V211" i="5"/>
  <c r="V39" i="5"/>
  <c r="U39" i="5"/>
  <c r="U94" i="5"/>
  <c r="V94" i="5"/>
  <c r="U66" i="5"/>
  <c r="V66" i="5"/>
  <c r="U70" i="5"/>
  <c r="V70" i="5"/>
  <c r="U448" i="5"/>
  <c r="V448" i="5"/>
  <c r="AP218" i="5"/>
  <c r="AR218" i="5" s="1"/>
  <c r="AO507" i="5"/>
  <c r="AN507" i="5"/>
  <c r="AO316" i="5"/>
  <c r="AN316" i="5"/>
  <c r="V456" i="5"/>
  <c r="U456" i="5"/>
  <c r="U248" i="5"/>
  <c r="V248" i="5"/>
  <c r="V297" i="5"/>
  <c r="U297" i="5"/>
  <c r="V548" i="5"/>
  <c r="U548" i="5"/>
  <c r="U396" i="5"/>
  <c r="V396" i="5"/>
  <c r="U430" i="5"/>
  <c r="V430" i="5"/>
  <c r="AP535" i="5"/>
  <c r="AQ535" i="5" s="1"/>
  <c r="AP551" i="5"/>
  <c r="AQ551" i="5" s="1"/>
  <c r="AP327" i="5"/>
  <c r="AQ327" i="5" s="1"/>
  <c r="AP134" i="5"/>
  <c r="AR134" i="5" s="1"/>
  <c r="AP326" i="5"/>
  <c r="AR326" i="5" s="1"/>
  <c r="AP463" i="5"/>
  <c r="AQ463" i="5" s="1"/>
  <c r="AP77" i="5"/>
  <c r="AR77" i="5" s="1"/>
  <c r="AP126" i="5"/>
  <c r="AQ126" i="5" s="1"/>
  <c r="AP117" i="5"/>
  <c r="AQ117" i="5" s="1"/>
  <c r="AP530" i="5"/>
  <c r="AR530" i="5" s="1"/>
  <c r="AP321" i="5"/>
  <c r="AQ321" i="5" s="1"/>
  <c r="AN368" i="5"/>
  <c r="AO368" i="5"/>
  <c r="AO279" i="5"/>
  <c r="AN279" i="5"/>
  <c r="AN182" i="5"/>
  <c r="AO182" i="5"/>
  <c r="AO393" i="5"/>
  <c r="AN393" i="5"/>
  <c r="AO275" i="5"/>
  <c r="AN275" i="5"/>
  <c r="AN403" i="5"/>
  <c r="AO403" i="5"/>
  <c r="AN183" i="5"/>
  <c r="AO183" i="5"/>
  <c r="AO453" i="5"/>
  <c r="AN453" i="5"/>
  <c r="AN330" i="5"/>
  <c r="AO330" i="5"/>
  <c r="AO54" i="5"/>
  <c r="AN54" i="5"/>
  <c r="AO342" i="5"/>
  <c r="AN342" i="5"/>
  <c r="AN138" i="5"/>
  <c r="AO138" i="5"/>
  <c r="AN470" i="5"/>
  <c r="AO470" i="5"/>
  <c r="AN213" i="5"/>
  <c r="AO213" i="5"/>
  <c r="AO558" i="5"/>
  <c r="AN558" i="5"/>
  <c r="AN428" i="5"/>
  <c r="AO428" i="5"/>
  <c r="AN180" i="5"/>
  <c r="AO180" i="5"/>
  <c r="AN545" i="5"/>
  <c r="AO545" i="5"/>
  <c r="AO303" i="5"/>
  <c r="AN303" i="5"/>
  <c r="AO22" i="5"/>
  <c r="AN22" i="5"/>
  <c r="AN201" i="5"/>
  <c r="AO201" i="5"/>
  <c r="AM69" i="4"/>
  <c r="AN69" i="4" s="1"/>
  <c r="W69" i="4"/>
  <c r="U504" i="5"/>
  <c r="V504" i="5"/>
  <c r="AN337" i="5"/>
  <c r="AO337" i="5"/>
  <c r="V336" i="5"/>
  <c r="U336" i="5"/>
  <c r="AM71" i="4"/>
  <c r="AN71" i="4" s="1"/>
  <c r="W71" i="4"/>
  <c r="Y71" i="4" s="1"/>
  <c r="AN344" i="5"/>
  <c r="AO344" i="5"/>
  <c r="AO308" i="5"/>
  <c r="AN308" i="5"/>
  <c r="AN120" i="5"/>
  <c r="AO120" i="5"/>
  <c r="V224" i="5"/>
  <c r="U224" i="5"/>
  <c r="AO177" i="5"/>
  <c r="AN177" i="5"/>
  <c r="U264" i="5"/>
  <c r="V264" i="5"/>
  <c r="V480" i="5"/>
  <c r="U480" i="5"/>
  <c r="U314" i="5"/>
  <c r="V314" i="5"/>
  <c r="V444" i="5"/>
  <c r="U444" i="5"/>
  <c r="U422" i="5"/>
  <c r="V422" i="5"/>
  <c r="U395" i="5"/>
  <c r="V395" i="5"/>
  <c r="V491" i="5"/>
  <c r="U491" i="5"/>
  <c r="U325" i="5"/>
  <c r="V325" i="5"/>
  <c r="V390" i="5"/>
  <c r="U390" i="5"/>
  <c r="U359" i="5"/>
  <c r="V359" i="5"/>
  <c r="U450" i="5"/>
  <c r="V450" i="5"/>
  <c r="U459" i="5"/>
  <c r="V459" i="5"/>
  <c r="U319" i="5"/>
  <c r="V319" i="5"/>
  <c r="V305" i="5"/>
  <c r="U305" i="5"/>
  <c r="U210" i="5"/>
  <c r="V210" i="5"/>
  <c r="U126" i="5"/>
  <c r="V126" i="5"/>
  <c r="V426" i="5"/>
  <c r="U426" i="5"/>
  <c r="U347" i="5"/>
  <c r="V347" i="5"/>
  <c r="V407" i="5"/>
  <c r="U407" i="5"/>
  <c r="V303" i="5"/>
  <c r="U303" i="5"/>
  <c r="U207" i="5"/>
  <c r="V207" i="5"/>
  <c r="U131" i="5"/>
  <c r="V131" i="5"/>
  <c r="U412" i="5"/>
  <c r="V412" i="5"/>
  <c r="U503" i="5"/>
  <c r="V503" i="5"/>
  <c r="U275" i="5"/>
  <c r="V275" i="5"/>
  <c r="V300" i="5"/>
  <c r="U300" i="5"/>
  <c r="V236" i="5"/>
  <c r="U236" i="5"/>
  <c r="U123" i="5"/>
  <c r="V123" i="5"/>
  <c r="U465" i="5"/>
  <c r="V465" i="5"/>
  <c r="U474" i="5"/>
  <c r="V474" i="5"/>
  <c r="U391" i="5"/>
  <c r="V391" i="5"/>
  <c r="V298" i="5"/>
  <c r="U298" i="5"/>
  <c r="U235" i="5"/>
  <c r="V235" i="5"/>
  <c r="U101" i="5"/>
  <c r="V101" i="5"/>
  <c r="U460" i="5"/>
  <c r="V460" i="5"/>
  <c r="V433" i="5"/>
  <c r="U433" i="5"/>
  <c r="V327" i="5"/>
  <c r="U327" i="5"/>
  <c r="U172" i="5"/>
  <c r="V172" i="5"/>
  <c r="U479" i="5"/>
  <c r="V479" i="5"/>
  <c r="U434" i="5"/>
  <c r="V434" i="5"/>
  <c r="U458" i="5"/>
  <c r="V458" i="5"/>
  <c r="V429" i="5"/>
  <c r="U429" i="5"/>
  <c r="V251" i="5"/>
  <c r="U251" i="5"/>
  <c r="V204" i="5"/>
  <c r="U204" i="5"/>
  <c r="U22" i="5"/>
  <c r="V22" i="5"/>
  <c r="U431" i="5"/>
  <c r="V431" i="5"/>
  <c r="V317" i="5"/>
  <c r="U317" i="5"/>
  <c r="U250" i="5"/>
  <c r="V250" i="5"/>
  <c r="V201" i="5"/>
  <c r="U201" i="5"/>
  <c r="V139" i="5"/>
  <c r="U139" i="5"/>
  <c r="V41" i="5"/>
  <c r="U41" i="5"/>
  <c r="V33" i="5"/>
  <c r="U33" i="5"/>
  <c r="U34" i="5"/>
  <c r="V34" i="5"/>
  <c r="V296" i="5"/>
  <c r="U296" i="5"/>
  <c r="U432" i="5"/>
  <c r="V432" i="5"/>
  <c r="AO78" i="5"/>
  <c r="AN78" i="5"/>
  <c r="AO181" i="5"/>
  <c r="AN181" i="5"/>
  <c r="AO134" i="5"/>
  <c r="AN134" i="5"/>
  <c r="AO166" i="5"/>
  <c r="AN166" i="5"/>
  <c r="U440" i="5"/>
  <c r="V440" i="5"/>
  <c r="V476" i="5"/>
  <c r="U476" i="5"/>
  <c r="V291" i="5"/>
  <c r="U291" i="5"/>
  <c r="U281" i="5"/>
  <c r="V281" i="5"/>
  <c r="V229" i="5"/>
  <c r="U229" i="5"/>
  <c r="U269" i="5"/>
  <c r="V269" i="5"/>
  <c r="U268" i="5"/>
  <c r="V268" i="5"/>
  <c r="U133" i="5"/>
  <c r="V133" i="5"/>
  <c r="U346" i="5"/>
  <c r="V346" i="5"/>
  <c r="U154" i="5"/>
  <c r="V154" i="5"/>
  <c r="V38" i="5"/>
  <c r="U38" i="5"/>
  <c r="AP78" i="5"/>
  <c r="AQ78" i="5" s="1"/>
  <c r="AP448" i="5"/>
  <c r="AQ448" i="5" s="1"/>
  <c r="AP487" i="5"/>
  <c r="AR487" i="5" s="1"/>
  <c r="U8" i="5"/>
  <c r="V8" i="5"/>
  <c r="AN288" i="5"/>
  <c r="AO288" i="5"/>
  <c r="AN378" i="5"/>
  <c r="AO378" i="5"/>
  <c r="AO516" i="5"/>
  <c r="AN516" i="5"/>
  <c r="AO529" i="5"/>
  <c r="AN529" i="5"/>
  <c r="AN522" i="5"/>
  <c r="AO522" i="5"/>
  <c r="AN19" i="5"/>
  <c r="AO19" i="5"/>
  <c r="AO366" i="5"/>
  <c r="AN366" i="5"/>
  <c r="AN154" i="5"/>
  <c r="AO154" i="5"/>
  <c r="AO391" i="5"/>
  <c r="AN391" i="5"/>
  <c r="AO269" i="5"/>
  <c r="AN269" i="5"/>
  <c r="AN524" i="5"/>
  <c r="AO524" i="5"/>
  <c r="AO250" i="5"/>
  <c r="AN250" i="5"/>
  <c r="AN55" i="5"/>
  <c r="AO55" i="5"/>
  <c r="AN386" i="5"/>
  <c r="AO386" i="5"/>
  <c r="AO126" i="5"/>
  <c r="AN126" i="5"/>
  <c r="AO489" i="5"/>
  <c r="AN489" i="5"/>
  <c r="AN310" i="5"/>
  <c r="AO310" i="5"/>
  <c r="AO86" i="5"/>
  <c r="AN86" i="5"/>
  <c r="AO461" i="5"/>
  <c r="AN461" i="5"/>
  <c r="AN214" i="5"/>
  <c r="AO214" i="5"/>
  <c r="AO357" i="5"/>
  <c r="AN357" i="5"/>
  <c r="AN124" i="5"/>
  <c r="AO124" i="5"/>
  <c r="V80" i="5"/>
  <c r="U80" i="5"/>
  <c r="V288" i="5"/>
  <c r="U288" i="5"/>
  <c r="AM19" i="4"/>
  <c r="AN19" i="4" s="1"/>
  <c r="W19" i="4"/>
  <c r="Y19" i="4" s="1"/>
  <c r="Z19" i="4" s="1"/>
  <c r="AF19" i="4" s="1"/>
  <c r="AN148" i="5"/>
  <c r="AO148" i="5"/>
  <c r="U56" i="5"/>
  <c r="V56" i="5"/>
  <c r="AN424" i="5"/>
  <c r="AO424" i="5"/>
  <c r="U496" i="5"/>
  <c r="V496" i="5"/>
  <c r="V344" i="5"/>
  <c r="U344" i="5"/>
  <c r="AO448" i="5"/>
  <c r="AN448" i="5"/>
  <c r="AM44" i="4"/>
  <c r="AN44" i="4" s="1"/>
  <c r="W44" i="4"/>
  <c r="Y44" i="4" s="1"/>
  <c r="Z44" i="4" s="1"/>
  <c r="U100" i="5"/>
  <c r="V100" i="5"/>
  <c r="U462" i="5"/>
  <c r="V462" i="5"/>
  <c r="V418" i="5"/>
  <c r="U418" i="5"/>
  <c r="V380" i="5"/>
  <c r="U380" i="5"/>
  <c r="U242" i="5"/>
  <c r="V242" i="5"/>
  <c r="V69" i="5"/>
  <c r="U69" i="5"/>
  <c r="V67" i="5"/>
  <c r="U67" i="5"/>
  <c r="U194" i="5"/>
  <c r="V194" i="5"/>
  <c r="V338" i="5"/>
  <c r="U338" i="5"/>
  <c r="U515" i="5"/>
  <c r="V515" i="5"/>
  <c r="U247" i="5"/>
  <c r="V247" i="5"/>
  <c r="U253" i="5"/>
  <c r="V253" i="5"/>
  <c r="U205" i="5"/>
  <c r="V205" i="5"/>
  <c r="U50" i="5"/>
  <c r="V50" i="5"/>
  <c r="U529" i="5"/>
  <c r="V529" i="5"/>
  <c r="U478" i="5"/>
  <c r="V478" i="5"/>
  <c r="V214" i="5"/>
  <c r="U214" i="5"/>
  <c r="U246" i="5"/>
  <c r="V246" i="5"/>
  <c r="V239" i="5"/>
  <c r="U239" i="5"/>
  <c r="U92" i="5"/>
  <c r="V92" i="5"/>
  <c r="V560" i="5"/>
  <c r="U560" i="5"/>
  <c r="U454" i="5"/>
  <c r="V454" i="5"/>
  <c r="U372" i="5"/>
  <c r="V372" i="5"/>
  <c r="U231" i="5"/>
  <c r="V231" i="5"/>
  <c r="V227" i="5"/>
  <c r="U227" i="5"/>
  <c r="V61" i="5"/>
  <c r="U61" i="5"/>
  <c r="U493" i="5"/>
  <c r="V493" i="5"/>
  <c r="U537" i="5"/>
  <c r="V537" i="5"/>
  <c r="U436" i="5"/>
  <c r="V436" i="5"/>
  <c r="U226" i="5"/>
  <c r="V226" i="5"/>
  <c r="U212" i="5"/>
  <c r="V212" i="5"/>
  <c r="U53" i="5"/>
  <c r="V53" i="5"/>
  <c r="U414" i="5"/>
  <c r="V414" i="5"/>
  <c r="U366" i="5"/>
  <c r="V366" i="5"/>
  <c r="U254" i="5"/>
  <c r="V254" i="5"/>
  <c r="U134" i="5"/>
  <c r="V134" i="5"/>
  <c r="V555" i="5"/>
  <c r="U555" i="5"/>
  <c r="U519" i="5"/>
  <c r="V519" i="5"/>
  <c r="U411" i="5"/>
  <c r="V411" i="5"/>
  <c r="V315" i="5"/>
  <c r="U315" i="5"/>
  <c r="U279" i="5"/>
  <c r="V279" i="5"/>
  <c r="U118" i="5"/>
  <c r="V118" i="5"/>
  <c r="V531" i="5"/>
  <c r="U531" i="5"/>
  <c r="V494" i="5"/>
  <c r="U494" i="5"/>
  <c r="V362" i="5"/>
  <c r="U362" i="5"/>
  <c r="V274" i="5"/>
  <c r="U274" i="5"/>
  <c r="U187" i="5"/>
  <c r="V187" i="5"/>
  <c r="U98" i="5"/>
  <c r="V98" i="5"/>
  <c r="V47" i="5"/>
  <c r="U47" i="5"/>
  <c r="U84" i="5"/>
  <c r="V84" i="5"/>
  <c r="AO20" i="5"/>
  <c r="AN20" i="5"/>
  <c r="AM27" i="4"/>
  <c r="AN27" i="4" s="1"/>
  <c r="W27" i="4"/>
  <c r="Y27" i="4" s="1"/>
  <c r="Z27" i="4" s="1"/>
  <c r="AF27" i="4" s="1"/>
  <c r="AN216" i="5"/>
  <c r="AO216" i="5"/>
  <c r="AN151" i="5"/>
  <c r="AO151" i="5"/>
  <c r="AO84" i="5"/>
  <c r="AN84" i="5"/>
  <c r="AN101" i="5"/>
  <c r="AO101" i="5"/>
  <c r="U512" i="5"/>
  <c r="V512" i="5"/>
  <c r="U435" i="5"/>
  <c r="V435" i="5"/>
  <c r="U244" i="5"/>
  <c r="V244" i="5"/>
  <c r="U82" i="5"/>
  <c r="V82" i="5"/>
  <c r="U484" i="5"/>
  <c r="V484" i="5"/>
  <c r="U453" i="5"/>
  <c r="V453" i="5"/>
  <c r="V57" i="5"/>
  <c r="U57" i="5"/>
  <c r="V549" i="5"/>
  <c r="U549" i="5"/>
  <c r="V428" i="5"/>
  <c r="U428" i="5"/>
  <c r="V322" i="5"/>
  <c r="U322" i="5"/>
  <c r="U393" i="5"/>
  <c r="V393" i="5"/>
  <c r="V27" i="5"/>
  <c r="U27" i="5"/>
  <c r="AP101" i="5"/>
  <c r="AR101" i="5" s="1"/>
  <c r="AP143" i="5"/>
  <c r="AR143" i="5" s="1"/>
  <c r="AP81" i="5"/>
  <c r="AQ81" i="5" s="1"/>
  <c r="U256" i="5"/>
  <c r="V256" i="5"/>
  <c r="V320" i="5"/>
  <c r="U320" i="5"/>
  <c r="AO290" i="5"/>
  <c r="AN290" i="5"/>
  <c r="AN245" i="5"/>
  <c r="AO245" i="5"/>
  <c r="AO429" i="5"/>
  <c r="AN429" i="5"/>
  <c r="AO471" i="5"/>
  <c r="AN471" i="5"/>
  <c r="AO407" i="5"/>
  <c r="AN407" i="5"/>
  <c r="AO417" i="5"/>
  <c r="AN417" i="5"/>
  <c r="AN90" i="5"/>
  <c r="AO90" i="5"/>
  <c r="AN452" i="5"/>
  <c r="AO452" i="5"/>
  <c r="AN266" i="5"/>
  <c r="AO266" i="5"/>
  <c r="AN425" i="5"/>
  <c r="AO425" i="5"/>
  <c r="AO329" i="5"/>
  <c r="AN329" i="5"/>
  <c r="AO44" i="5"/>
  <c r="AN44" i="5"/>
  <c r="AO319" i="5"/>
  <c r="AN319" i="5"/>
  <c r="AO94" i="5"/>
  <c r="AN94" i="5"/>
  <c r="AO405" i="5"/>
  <c r="AN405" i="5"/>
  <c r="AN188" i="5"/>
  <c r="AO188" i="5"/>
  <c r="AO76" i="5"/>
  <c r="AN76" i="5"/>
  <c r="AN375" i="5"/>
  <c r="AO375" i="5"/>
  <c r="AN165" i="5"/>
  <c r="AO165" i="5"/>
  <c r="AO295" i="5"/>
  <c r="AN295" i="5"/>
  <c r="AN100" i="5"/>
  <c r="AO100" i="5"/>
  <c r="V368" i="5"/>
  <c r="U368" i="5"/>
  <c r="AN236" i="5"/>
  <c r="AO236" i="5"/>
  <c r="AO208" i="5"/>
  <c r="AN208" i="5"/>
  <c r="U400" i="5"/>
  <c r="V400" i="5"/>
  <c r="V112" i="5"/>
  <c r="U112" i="5"/>
  <c r="AO144" i="5"/>
  <c r="AN144" i="5"/>
  <c r="U526" i="5"/>
  <c r="V526" i="5"/>
  <c r="AM137" i="4"/>
  <c r="AN137" i="4" s="1"/>
  <c r="W137" i="4"/>
  <c r="AO480" i="5"/>
  <c r="AN480" i="5"/>
  <c r="AO300" i="5"/>
  <c r="AN300" i="5"/>
  <c r="V328" i="5"/>
  <c r="U328" i="5"/>
  <c r="AO35" i="5"/>
  <c r="AN35" i="5"/>
  <c r="U518" i="5"/>
  <c r="V518" i="5"/>
  <c r="U349" i="5"/>
  <c r="V349" i="5"/>
  <c r="U307" i="5"/>
  <c r="V307" i="5"/>
  <c r="V285" i="5"/>
  <c r="U285" i="5"/>
  <c r="U141" i="5"/>
  <c r="V141" i="5"/>
  <c r="U19" i="5"/>
  <c r="V19" i="5"/>
  <c r="U552" i="5"/>
  <c r="V552" i="5"/>
  <c r="V44" i="5"/>
  <c r="U44" i="5"/>
  <c r="U510" i="5"/>
  <c r="V510" i="5"/>
  <c r="V481" i="5"/>
  <c r="U481" i="5"/>
  <c r="U420" i="5"/>
  <c r="V420" i="5"/>
  <c r="U323" i="5"/>
  <c r="V323" i="5"/>
  <c r="U190" i="5"/>
  <c r="V190" i="5"/>
  <c r="U28" i="5"/>
  <c r="V28" i="5"/>
  <c r="V506" i="5"/>
  <c r="U506" i="5"/>
  <c r="U443" i="5"/>
  <c r="V443" i="5"/>
  <c r="V415" i="5"/>
  <c r="U415" i="5"/>
  <c r="V316" i="5"/>
  <c r="U316" i="5"/>
  <c r="U203" i="5"/>
  <c r="V203" i="5"/>
  <c r="U30" i="5"/>
  <c r="V30" i="5"/>
  <c r="U495" i="5"/>
  <c r="V495" i="5"/>
  <c r="V339" i="5"/>
  <c r="U339" i="5"/>
  <c r="U437" i="5"/>
  <c r="V437" i="5"/>
  <c r="V313" i="5"/>
  <c r="U313" i="5"/>
  <c r="U196" i="5"/>
  <c r="V196" i="5"/>
  <c r="U502" i="5"/>
  <c r="V502" i="5"/>
  <c r="U470" i="5"/>
  <c r="V470" i="5"/>
  <c r="V507" i="5"/>
  <c r="U507" i="5"/>
  <c r="U405" i="5"/>
  <c r="V405" i="5"/>
  <c r="V311" i="5"/>
  <c r="U311" i="5"/>
  <c r="V188" i="5"/>
  <c r="U188" i="5"/>
  <c r="Q10" i="5"/>
  <c r="AG10" i="5"/>
  <c r="T10" i="5"/>
  <c r="AM10" i="5"/>
  <c r="W10" i="5"/>
  <c r="V383" i="5"/>
  <c r="U383" i="5"/>
  <c r="V329" i="5"/>
  <c r="U329" i="5"/>
  <c r="U233" i="5"/>
  <c r="V233" i="5"/>
  <c r="U114" i="5"/>
  <c r="V114" i="5"/>
  <c r="U514" i="5"/>
  <c r="V514" i="5"/>
  <c r="U498" i="5"/>
  <c r="V498" i="5"/>
  <c r="U382" i="5"/>
  <c r="V382" i="5"/>
  <c r="U356" i="5"/>
  <c r="V356" i="5"/>
  <c r="U252" i="5"/>
  <c r="V252" i="5"/>
  <c r="U125" i="5"/>
  <c r="V125" i="5"/>
  <c r="V487" i="5"/>
  <c r="U487" i="5"/>
  <c r="V451" i="5"/>
  <c r="U451" i="5"/>
  <c r="U354" i="5"/>
  <c r="V354" i="5"/>
  <c r="U249" i="5"/>
  <c r="V249" i="5"/>
  <c r="V151" i="5"/>
  <c r="U151" i="5"/>
  <c r="U74" i="5"/>
  <c r="V74" i="5"/>
  <c r="V26" i="5"/>
  <c r="U26" i="5"/>
  <c r="U87" i="5"/>
  <c r="V87" i="5"/>
  <c r="AN292" i="5"/>
  <c r="AO292" i="5"/>
  <c r="V546" i="5"/>
  <c r="U546" i="5"/>
  <c r="AO456" i="5"/>
  <c r="AN456" i="5"/>
  <c r="AO255" i="5"/>
  <c r="AN255" i="5"/>
  <c r="AO229" i="5"/>
  <c r="AN229" i="5"/>
  <c r="U472" i="5"/>
  <c r="V472" i="5"/>
  <c r="U464" i="5"/>
  <c r="V464" i="5"/>
  <c r="U550" i="5"/>
  <c r="V550" i="5"/>
  <c r="U375" i="5"/>
  <c r="V375" i="5"/>
  <c r="U37" i="5"/>
  <c r="V37" i="5"/>
  <c r="U403" i="5"/>
  <c r="V403" i="5"/>
  <c r="U377" i="5"/>
  <c r="V377" i="5"/>
  <c r="V161" i="5"/>
  <c r="U161" i="5"/>
  <c r="U91" i="5"/>
  <c r="V91" i="5"/>
  <c r="U280" i="5"/>
  <c r="V280" i="5"/>
  <c r="AP229" i="5"/>
  <c r="AR229" i="5" s="1"/>
  <c r="AP131" i="5"/>
  <c r="AQ131" i="5" s="1"/>
  <c r="AP94" i="5"/>
  <c r="AQ94" i="5" s="1"/>
  <c r="AP274" i="5"/>
  <c r="AQ274" i="5" s="1"/>
  <c r="AP79" i="5"/>
  <c r="AR79" i="5" s="1"/>
  <c r="AP127" i="5"/>
  <c r="AR127" i="5" s="1"/>
  <c r="AO95" i="5"/>
  <c r="AN95" i="5"/>
  <c r="AN202" i="5"/>
  <c r="AO202" i="5"/>
  <c r="AO350" i="5"/>
  <c r="AN350" i="5"/>
  <c r="AN351" i="5"/>
  <c r="AO351" i="5"/>
  <c r="AO517" i="5"/>
  <c r="AN517" i="5"/>
  <c r="AN345" i="5"/>
  <c r="AO345" i="5"/>
  <c r="AO483" i="5"/>
  <c r="AN483" i="5"/>
  <c r="AN364" i="5"/>
  <c r="AO364" i="5"/>
  <c r="AN244" i="5"/>
  <c r="AO244" i="5"/>
  <c r="AN502" i="5"/>
  <c r="AO502" i="5"/>
  <c r="AO247" i="5"/>
  <c r="AN247" i="5"/>
  <c r="AN559" i="5"/>
  <c r="AO559" i="5"/>
  <c r="AN315" i="5"/>
  <c r="AO315" i="5"/>
  <c r="AN77" i="5"/>
  <c r="AO77" i="5"/>
  <c r="AN468" i="5"/>
  <c r="AO468" i="5"/>
  <c r="AN323" i="5"/>
  <c r="AO323" i="5"/>
  <c r="AN52" i="5"/>
  <c r="AO52" i="5"/>
  <c r="AO414" i="5"/>
  <c r="AN414" i="5"/>
  <c r="AN170" i="5"/>
  <c r="AO170" i="5"/>
  <c r="AN317" i="5"/>
  <c r="AO317" i="5"/>
  <c r="AO74" i="5"/>
  <c r="AN74" i="5"/>
  <c r="U352" i="5"/>
  <c r="V352" i="5"/>
  <c r="AN440" i="5"/>
  <c r="AO440" i="5"/>
  <c r="AN203" i="5"/>
  <c r="AO203" i="5"/>
  <c r="U272" i="5"/>
  <c r="V272" i="5"/>
  <c r="U424" i="5"/>
  <c r="V424" i="5"/>
  <c r="AM77" i="4"/>
  <c r="AN77" i="4" s="1"/>
  <c r="W77" i="4"/>
  <c r="X77" i="4" s="1"/>
  <c r="V304" i="5"/>
  <c r="U304" i="5"/>
  <c r="V208" i="5"/>
  <c r="U208" i="5"/>
  <c r="AN464" i="5"/>
  <c r="AO464" i="5"/>
  <c r="AM23" i="4"/>
  <c r="AN23" i="4" s="1"/>
  <c r="W23" i="4"/>
  <c r="AO107" i="5"/>
  <c r="AN107" i="5"/>
  <c r="V160" i="5"/>
  <c r="U160" i="5"/>
  <c r="AO99" i="5"/>
  <c r="AN99" i="5"/>
  <c r="AM8" i="4"/>
  <c r="AN8" i="4" s="1"/>
  <c r="W8" i="4"/>
  <c r="U536" i="5"/>
  <c r="V536" i="5"/>
  <c r="V273" i="5"/>
  <c r="U273" i="5"/>
  <c r="U146" i="5"/>
  <c r="V146" i="5"/>
  <c r="U221" i="5"/>
  <c r="V221" i="5"/>
  <c r="U419" i="5"/>
  <c r="V419" i="5"/>
  <c r="V553" i="5"/>
  <c r="U553" i="5"/>
  <c r="V539" i="5"/>
  <c r="U539" i="5"/>
  <c r="V523" i="5"/>
  <c r="U523" i="5"/>
  <c r="V482" i="5"/>
  <c r="U482" i="5"/>
  <c r="U447" i="5"/>
  <c r="V447" i="5"/>
  <c r="U387" i="5"/>
  <c r="V387" i="5"/>
  <c r="V237" i="5"/>
  <c r="U237" i="5"/>
  <c r="U79" i="5"/>
  <c r="V79" i="5"/>
  <c r="V520" i="5"/>
  <c r="U520" i="5"/>
  <c r="U477" i="5"/>
  <c r="V477" i="5"/>
  <c r="U324" i="5"/>
  <c r="V324" i="5"/>
  <c r="V381" i="5"/>
  <c r="U381" i="5"/>
  <c r="V284" i="5"/>
  <c r="U284" i="5"/>
  <c r="V186" i="5"/>
  <c r="U186" i="5"/>
  <c r="U509" i="5"/>
  <c r="V509" i="5"/>
  <c r="U473" i="5"/>
  <c r="V473" i="5"/>
  <c r="U508" i="5"/>
  <c r="V508" i="5"/>
  <c r="V410" i="5"/>
  <c r="U410" i="5"/>
  <c r="U276" i="5"/>
  <c r="V276" i="5"/>
  <c r="V185" i="5"/>
  <c r="U185" i="5"/>
  <c r="U559" i="5"/>
  <c r="V559" i="5"/>
  <c r="U439" i="5"/>
  <c r="V439" i="5"/>
  <c r="U466" i="5"/>
  <c r="V466" i="5"/>
  <c r="V367" i="5"/>
  <c r="U367" i="5"/>
  <c r="U266" i="5"/>
  <c r="V266" i="5"/>
  <c r="V183" i="5"/>
  <c r="U183" i="5"/>
  <c r="U471" i="5"/>
  <c r="V471" i="5"/>
  <c r="V353" i="5"/>
  <c r="U353" i="5"/>
  <c r="V262" i="5"/>
  <c r="U262" i="5"/>
  <c r="U180" i="5"/>
  <c r="V180" i="5"/>
  <c r="U109" i="5"/>
  <c r="V109" i="5"/>
  <c r="V544" i="5"/>
  <c r="U544" i="5"/>
  <c r="V468" i="5"/>
  <c r="U468" i="5"/>
  <c r="V348" i="5"/>
  <c r="U348" i="5"/>
  <c r="U293" i="5"/>
  <c r="V293" i="5"/>
  <c r="V230" i="5"/>
  <c r="U230" i="5"/>
  <c r="V156" i="5"/>
  <c r="U156" i="5"/>
  <c r="U461" i="5"/>
  <c r="V461" i="5"/>
  <c r="V379" i="5"/>
  <c r="U379" i="5"/>
  <c r="V310" i="5"/>
  <c r="U310" i="5"/>
  <c r="U225" i="5"/>
  <c r="V225" i="5"/>
  <c r="U155" i="5"/>
  <c r="V155" i="5"/>
  <c r="V59" i="5"/>
  <c r="U59" i="5"/>
  <c r="U121" i="5"/>
  <c r="V121" i="5"/>
  <c r="V105" i="5"/>
  <c r="U105" i="5"/>
  <c r="AO91" i="5"/>
  <c r="AN91" i="5"/>
  <c r="V554" i="5"/>
  <c r="U554" i="5"/>
  <c r="AN34" i="5"/>
  <c r="AO34" i="5"/>
  <c r="AO46" i="5"/>
  <c r="AN46" i="5"/>
  <c r="AN411" i="5"/>
  <c r="AO411" i="5"/>
  <c r="AO535" i="5"/>
  <c r="AN535" i="5"/>
  <c r="U150" i="5"/>
  <c r="V150" i="5"/>
  <c r="U245" i="5"/>
  <c r="V245" i="5"/>
  <c r="V93" i="5"/>
  <c r="U93" i="5"/>
  <c r="U222" i="5"/>
  <c r="V222" i="5"/>
  <c r="U191" i="5"/>
  <c r="V191" i="5"/>
  <c r="V282" i="5"/>
  <c r="U282" i="5"/>
  <c r="V364" i="5"/>
  <c r="U364" i="5"/>
  <c r="U525" i="5"/>
  <c r="V525" i="5"/>
  <c r="V318" i="5"/>
  <c r="U318" i="5"/>
  <c r="U43" i="5"/>
  <c r="V43" i="5"/>
  <c r="AP232" i="5"/>
  <c r="AQ232" i="5" s="1"/>
  <c r="AP381" i="5"/>
  <c r="AQ381" i="5" s="1"/>
  <c r="AP255" i="5"/>
  <c r="AQ255" i="5" s="1"/>
  <c r="AP531" i="5"/>
  <c r="AQ531" i="5" s="1"/>
  <c r="AP210" i="5"/>
  <c r="AQ210" i="5" s="1"/>
  <c r="AP360" i="5"/>
  <c r="AR360" i="5" s="1"/>
  <c r="AP216" i="5"/>
  <c r="AQ216" i="5" s="1"/>
  <c r="AP30" i="5"/>
  <c r="AR30" i="5" s="1"/>
  <c r="AP140" i="5"/>
  <c r="AR140" i="5" s="1"/>
  <c r="AO501" i="5"/>
  <c r="AN501" i="5"/>
  <c r="AN548" i="5"/>
  <c r="AO548" i="5"/>
  <c r="AO187" i="5"/>
  <c r="AN187" i="5"/>
  <c r="AN119" i="5"/>
  <c r="AO119" i="5"/>
  <c r="AN509" i="5"/>
  <c r="AO509" i="5"/>
  <c r="AN339" i="5"/>
  <c r="AO339" i="5"/>
  <c r="AO544" i="5"/>
  <c r="AN544" i="5"/>
  <c r="AO402" i="5"/>
  <c r="AN402" i="5"/>
  <c r="AO230" i="5"/>
  <c r="AN230" i="5"/>
  <c r="AN443" i="5"/>
  <c r="AO443" i="5"/>
  <c r="AN246" i="5"/>
  <c r="AO246" i="5"/>
  <c r="AN297" i="5"/>
  <c r="AO297" i="5"/>
  <c r="AO241" i="5"/>
  <c r="AN241" i="5"/>
  <c r="AN63" i="5"/>
  <c r="AO63" i="5"/>
  <c r="AN515" i="5"/>
  <c r="AO515" i="5"/>
  <c r="AN191" i="5"/>
  <c r="AO191" i="5"/>
  <c r="AN37" i="5"/>
  <c r="AO37" i="5"/>
  <c r="AO218" i="5"/>
  <c r="AN218" i="5"/>
  <c r="AN117" i="5"/>
  <c r="AO117" i="5"/>
  <c r="AO291" i="5"/>
  <c r="AN291" i="5"/>
  <c r="AO75" i="5"/>
  <c r="AN75" i="5"/>
  <c r="AM157" i="4"/>
  <c r="AN157" i="4" s="1"/>
  <c r="W157" i="4"/>
  <c r="X157" i="4" s="1"/>
  <c r="U192" i="5"/>
  <c r="V192" i="5"/>
  <c r="U232" i="5"/>
  <c r="V232" i="5"/>
  <c r="AN336" i="5"/>
  <c r="AO336" i="5"/>
  <c r="AN227" i="5"/>
  <c r="AO227" i="5"/>
  <c r="AN121" i="5"/>
  <c r="AO121" i="5"/>
  <c r="AN184" i="5"/>
  <c r="AO184" i="5"/>
  <c r="AN123" i="5"/>
  <c r="AO123" i="5"/>
  <c r="U485" i="5"/>
  <c r="V485" i="5"/>
  <c r="V457" i="5"/>
  <c r="U457" i="5"/>
  <c r="V181" i="5"/>
  <c r="U181" i="5"/>
  <c r="V547" i="5"/>
  <c r="U547" i="5"/>
  <c r="U142" i="5"/>
  <c r="V142" i="5"/>
  <c r="U492" i="5"/>
  <c r="V492" i="5"/>
  <c r="V542" i="5"/>
  <c r="U542" i="5"/>
  <c r="U467" i="5"/>
  <c r="V467" i="5"/>
  <c r="V445" i="5"/>
  <c r="U445" i="5"/>
  <c r="U455" i="5"/>
  <c r="V455" i="5"/>
  <c r="U357" i="5"/>
  <c r="V357" i="5"/>
  <c r="V350" i="5"/>
  <c r="U350" i="5"/>
  <c r="V306" i="5"/>
  <c r="U306" i="5"/>
  <c r="U177" i="5"/>
  <c r="V177" i="5"/>
  <c r="U423" i="5"/>
  <c r="V423" i="5"/>
  <c r="V452" i="5"/>
  <c r="U452" i="5"/>
  <c r="U399" i="5"/>
  <c r="V399" i="5"/>
  <c r="U345" i="5"/>
  <c r="V345" i="5"/>
  <c r="U135" i="5"/>
  <c r="V135" i="5"/>
  <c r="V170" i="5"/>
  <c r="U170" i="5"/>
  <c r="U397" i="5"/>
  <c r="V397" i="5"/>
  <c r="U446" i="5"/>
  <c r="V446" i="5"/>
  <c r="V441" i="5"/>
  <c r="U441" i="5"/>
  <c r="V378" i="5"/>
  <c r="U378" i="5"/>
  <c r="U334" i="5"/>
  <c r="V334" i="5"/>
  <c r="V169" i="5"/>
  <c r="U169" i="5"/>
  <c r="U524" i="5"/>
  <c r="V524" i="5"/>
  <c r="U398" i="5"/>
  <c r="V398" i="5"/>
  <c r="U417" i="5"/>
  <c r="V417" i="5"/>
  <c r="V337" i="5"/>
  <c r="U337" i="5"/>
  <c r="V332" i="5"/>
  <c r="U332" i="5"/>
  <c r="U140" i="5"/>
  <c r="V140" i="5"/>
  <c r="U442" i="5"/>
  <c r="V442" i="5"/>
  <c r="U228" i="5"/>
  <c r="V228" i="5"/>
  <c r="V321" i="5"/>
  <c r="U321" i="5"/>
  <c r="V199" i="5"/>
  <c r="U199" i="5"/>
  <c r="V85" i="5"/>
  <c r="U85" i="5"/>
  <c r="U540" i="5"/>
  <c r="V540" i="5"/>
  <c r="U438" i="5"/>
  <c r="V438" i="5"/>
  <c r="U195" i="5"/>
  <c r="V195" i="5"/>
  <c r="U261" i="5"/>
  <c r="V261" i="5"/>
  <c r="V174" i="5"/>
  <c r="U174" i="5"/>
  <c r="V106" i="5"/>
  <c r="U106" i="5"/>
  <c r="U425" i="5"/>
  <c r="V425" i="5"/>
  <c r="V340" i="5"/>
  <c r="U340" i="5"/>
  <c r="V290" i="5"/>
  <c r="U290" i="5"/>
  <c r="U243" i="5"/>
  <c r="V243" i="5"/>
  <c r="U95" i="5"/>
  <c r="V95" i="5"/>
  <c r="U52" i="5"/>
  <c r="V52" i="5"/>
  <c r="U83" i="5"/>
  <c r="V83" i="5"/>
  <c r="V89" i="5"/>
  <c r="U89" i="5"/>
  <c r="AO307" i="5"/>
  <c r="AN307" i="5"/>
  <c r="AO104" i="5"/>
  <c r="AN104" i="5"/>
  <c r="AM108" i="4"/>
  <c r="AN108" i="4" s="1"/>
  <c r="W108" i="4"/>
  <c r="Y108" i="4" s="1"/>
  <c r="Z108" i="4" s="1"/>
  <c r="AO469" i="5"/>
  <c r="AN469" i="5"/>
  <c r="AN460" i="5"/>
  <c r="AO460" i="5"/>
  <c r="AO531" i="5"/>
  <c r="AN531" i="5"/>
  <c r="AO237" i="5"/>
  <c r="AN237" i="5"/>
  <c r="V538" i="5"/>
  <c r="U538" i="5"/>
  <c r="U516" i="5"/>
  <c r="V516" i="5"/>
  <c r="U351" i="5"/>
  <c r="V351" i="5"/>
  <c r="V513" i="5"/>
  <c r="U513" i="5"/>
  <c r="U475" i="5"/>
  <c r="V475" i="5"/>
  <c r="V371" i="5"/>
  <c r="U371" i="5"/>
  <c r="AP447" i="5"/>
  <c r="AQ447" i="5" s="1"/>
  <c r="AP181" i="5"/>
  <c r="AR181" i="5" s="1"/>
  <c r="AP517" i="5"/>
  <c r="AQ517" i="5" s="1"/>
  <c r="AP426" i="5"/>
  <c r="AQ426" i="5" s="1"/>
  <c r="AP312" i="5"/>
  <c r="AQ312" i="5" s="1"/>
  <c r="AP239" i="5"/>
  <c r="AR239" i="5" s="1"/>
  <c r="AP474" i="5"/>
  <c r="AQ474" i="5" s="1"/>
  <c r="AP296" i="5"/>
  <c r="AQ296" i="5" s="1"/>
  <c r="V152" i="5"/>
  <c r="U152" i="5"/>
  <c r="AO400" i="5"/>
  <c r="AN400" i="5"/>
  <c r="U488" i="5"/>
  <c r="V488" i="5"/>
  <c r="AO353" i="5"/>
  <c r="AN353" i="5"/>
  <c r="AN439" i="5"/>
  <c r="AO439" i="5"/>
  <c r="AO523" i="5"/>
  <c r="AN523" i="5"/>
  <c r="AN479" i="5"/>
  <c r="AO479" i="5"/>
  <c r="AN466" i="5"/>
  <c r="AO466" i="5"/>
  <c r="AN268" i="5"/>
  <c r="AO268" i="5"/>
  <c r="AO513" i="5"/>
  <c r="AN513" i="5"/>
  <c r="AO277" i="5"/>
  <c r="AN277" i="5"/>
  <c r="AN158" i="5"/>
  <c r="AO158" i="5"/>
  <c r="AO382" i="5"/>
  <c r="AN382" i="5"/>
  <c r="AO242" i="5"/>
  <c r="AN242" i="5"/>
  <c r="AO494" i="5"/>
  <c r="AN494" i="5"/>
  <c r="AO327" i="5"/>
  <c r="AN327" i="5"/>
  <c r="AO30" i="5"/>
  <c r="AN30" i="5"/>
  <c r="AN333" i="5"/>
  <c r="AO333" i="5"/>
  <c r="AN217" i="5"/>
  <c r="AO217" i="5"/>
  <c r="AN541" i="5"/>
  <c r="AO541" i="5"/>
  <c r="AN309" i="5"/>
  <c r="AO309" i="5"/>
  <c r="AO102" i="5"/>
  <c r="AN102" i="5"/>
  <c r="AN215" i="5"/>
  <c r="AO215" i="5"/>
  <c r="AO67" i="5"/>
  <c r="AN67" i="5"/>
  <c r="AM103" i="4"/>
  <c r="AN103" i="4" s="1"/>
  <c r="W103" i="4"/>
  <c r="V416" i="5"/>
  <c r="U416" i="5"/>
  <c r="AN153" i="5"/>
  <c r="AO153" i="5"/>
  <c r="V32" i="5"/>
  <c r="U32" i="5"/>
  <c r="W45" i="4"/>
  <c r="AM45" i="4"/>
  <c r="AN45" i="4" s="1"/>
  <c r="U360" i="5"/>
  <c r="V360" i="5"/>
  <c r="AO387" i="5"/>
  <c r="AN387" i="5"/>
  <c r="U392" i="5"/>
  <c r="V392" i="5"/>
  <c r="V373" i="5"/>
  <c r="U373" i="5"/>
  <c r="U469" i="5"/>
  <c r="V469" i="5"/>
  <c r="V558" i="5"/>
  <c r="U558" i="5"/>
  <c r="U394" i="5"/>
  <c r="V394" i="5"/>
  <c r="V535" i="5"/>
  <c r="U535" i="5"/>
  <c r="U521" i="5"/>
  <c r="V521" i="5"/>
  <c r="U486" i="5"/>
  <c r="V486" i="5"/>
  <c r="U500" i="5"/>
  <c r="V500" i="5"/>
  <c r="U530" i="5"/>
  <c r="V530" i="5"/>
  <c r="V511" i="5"/>
  <c r="U511" i="5"/>
  <c r="V402" i="5"/>
  <c r="U402" i="5"/>
  <c r="U286" i="5"/>
  <c r="V286" i="5"/>
  <c r="U270" i="5"/>
  <c r="V270" i="5"/>
  <c r="U138" i="5"/>
  <c r="V138" i="5"/>
  <c r="V528" i="5"/>
  <c r="U528" i="5"/>
  <c r="U413" i="5"/>
  <c r="V413" i="5"/>
  <c r="U363" i="5"/>
  <c r="V363" i="5"/>
  <c r="V283" i="5"/>
  <c r="U283" i="5"/>
  <c r="V301" i="5"/>
  <c r="U301" i="5"/>
  <c r="V173" i="5"/>
  <c r="U173" i="5"/>
  <c r="U449" i="5"/>
  <c r="V449" i="5"/>
  <c r="U401" i="5"/>
  <c r="V401" i="5"/>
  <c r="V287" i="5"/>
  <c r="U287" i="5"/>
  <c r="V342" i="5"/>
  <c r="U342" i="5"/>
  <c r="U295" i="5"/>
  <c r="V295" i="5"/>
  <c r="V171" i="5"/>
  <c r="U171" i="5"/>
  <c r="V406" i="5"/>
  <c r="U406" i="5"/>
  <c r="U522" i="5"/>
  <c r="V522" i="5"/>
  <c r="U388" i="5"/>
  <c r="V388" i="5"/>
  <c r="U267" i="5"/>
  <c r="V267" i="5"/>
  <c r="V289" i="5"/>
  <c r="U289" i="5"/>
  <c r="V149" i="5"/>
  <c r="U149" i="5"/>
  <c r="U533" i="5"/>
  <c r="V533" i="5"/>
  <c r="V389" i="5"/>
  <c r="U389" i="5"/>
  <c r="U302" i="5"/>
  <c r="V302" i="5"/>
  <c r="U223" i="5"/>
  <c r="V223" i="5"/>
  <c r="U76" i="5"/>
  <c r="V76" i="5"/>
  <c r="V489" i="5"/>
  <c r="U489" i="5"/>
  <c r="U532" i="5"/>
  <c r="V532" i="5"/>
  <c r="V386" i="5"/>
  <c r="U386" i="5"/>
  <c r="V331" i="5"/>
  <c r="U331" i="5"/>
  <c r="U166" i="5"/>
  <c r="V166" i="5"/>
  <c r="U107" i="5"/>
  <c r="V107" i="5"/>
  <c r="V374" i="5"/>
  <c r="U374" i="5"/>
  <c r="U162" i="5"/>
  <c r="V162" i="5"/>
  <c r="U259" i="5"/>
  <c r="V259" i="5"/>
  <c r="V159" i="5"/>
  <c r="U159" i="5"/>
  <c r="V35" i="5"/>
  <c r="U35" i="5"/>
  <c r="U117" i="5"/>
  <c r="V117" i="5"/>
  <c r="U25" i="5"/>
  <c r="V25" i="5"/>
  <c r="U55" i="5"/>
  <c r="V55" i="5"/>
  <c r="AN379" i="5"/>
  <c r="AO379" i="5"/>
  <c r="V408" i="5"/>
  <c r="U408" i="5"/>
  <c r="AM54" i="4"/>
  <c r="AN54" i="4" s="1"/>
  <c r="W54" i="4"/>
  <c r="X54" i="4" s="1"/>
  <c r="AJ54" i="4" s="1"/>
  <c r="AO193" i="5"/>
  <c r="AN193" i="5"/>
  <c r="B102" i="2"/>
  <c r="B103" i="2" s="1"/>
  <c r="B73" i="2"/>
  <c r="B157" i="2"/>
  <c r="B92" i="2"/>
  <c r="B142" i="2"/>
  <c r="AE98" i="4"/>
  <c r="AH139" i="4"/>
  <c r="AH83" i="4"/>
  <c r="AH110" i="4"/>
  <c r="AH130" i="4"/>
  <c r="AH131" i="4"/>
  <c r="AH118" i="4"/>
  <c r="AH44" i="4"/>
  <c r="AH45" i="4"/>
  <c r="AH108" i="4"/>
  <c r="AH19" i="4"/>
  <c r="AH81" i="4"/>
  <c r="AH113" i="4"/>
  <c r="AH17" i="4"/>
  <c r="AH26" i="4"/>
  <c r="AH80" i="4"/>
  <c r="AH41" i="4"/>
  <c r="AH13" i="4"/>
  <c r="AH62" i="4"/>
  <c r="AH82" i="4"/>
  <c r="AH32" i="4"/>
  <c r="AH124" i="4"/>
  <c r="AH58" i="4"/>
  <c r="AH146" i="4"/>
  <c r="AH156" i="4"/>
  <c r="AH33" i="4"/>
  <c r="AH154" i="4"/>
  <c r="AH27" i="4"/>
  <c r="AH150" i="4"/>
  <c r="AH72" i="4"/>
  <c r="AH147" i="4"/>
  <c r="AH136" i="4"/>
  <c r="AH78" i="4"/>
  <c r="AH121" i="4"/>
  <c r="AH151" i="4"/>
  <c r="AH137" i="4"/>
  <c r="AH54" i="4"/>
  <c r="AH135" i="4"/>
  <c r="AH85" i="4"/>
  <c r="AH152" i="4"/>
  <c r="AH104" i="4"/>
  <c r="AH114" i="4"/>
  <c r="AH98" i="4"/>
  <c r="AH112" i="4"/>
  <c r="AH56" i="4"/>
  <c r="AH88" i="4"/>
  <c r="AH47" i="4"/>
  <c r="AH143" i="4"/>
  <c r="AH126" i="4"/>
  <c r="AH93" i="4"/>
  <c r="AH92" i="4"/>
  <c r="AH51" i="4"/>
  <c r="AH89" i="4"/>
  <c r="AH119" i="4"/>
  <c r="AH50" i="4"/>
  <c r="AH60" i="4"/>
  <c r="AH120" i="4"/>
  <c r="AH40" i="4"/>
  <c r="AH69" i="4"/>
  <c r="AR552" i="5"/>
  <c r="AQ494" i="5"/>
  <c r="AQ516" i="5"/>
  <c r="AQ371" i="5"/>
  <c r="AQ465" i="5"/>
  <c r="AR465" i="5"/>
  <c r="AQ383" i="5"/>
  <c r="AR383" i="5"/>
  <c r="AR354" i="5"/>
  <c r="AQ222" i="5"/>
  <c r="AR222" i="5"/>
  <c r="AR133" i="5"/>
  <c r="AR26" i="5"/>
  <c r="AQ26" i="5"/>
  <c r="AQ556" i="5"/>
  <c r="AR556" i="5"/>
  <c r="AR356" i="5"/>
  <c r="AQ356" i="5"/>
  <c r="AR386" i="5"/>
  <c r="AR234" i="5"/>
  <c r="AQ234" i="5"/>
  <c r="AR307" i="5"/>
  <c r="AQ307" i="5"/>
  <c r="AR355" i="5"/>
  <c r="AR187" i="5"/>
  <c r="AQ187" i="5"/>
  <c r="AQ324" i="5"/>
  <c r="AQ64" i="5"/>
  <c r="AQ217" i="5"/>
  <c r="AR217" i="5"/>
  <c r="AQ169" i="5"/>
  <c r="AR169" i="5"/>
  <c r="AQ214" i="5"/>
  <c r="AQ379" i="5"/>
  <c r="AR379" i="5"/>
  <c r="AR147" i="5"/>
  <c r="AQ147" i="5"/>
  <c r="AQ250" i="5"/>
  <c r="AQ521" i="5"/>
  <c r="AR521" i="5"/>
  <c r="AQ166" i="5"/>
  <c r="AR166" i="5"/>
  <c r="AR410" i="5"/>
  <c r="AQ410" i="5"/>
  <c r="AR135" i="5"/>
  <c r="AQ153" i="5"/>
  <c r="AQ486" i="5"/>
  <c r="AQ394" i="5"/>
  <c r="AR394" i="5"/>
  <c r="AQ382" i="5"/>
  <c r="AR382" i="5"/>
  <c r="AQ148" i="5"/>
  <c r="AR148" i="5"/>
  <c r="AQ202" i="5"/>
  <c r="AR202" i="5"/>
  <c r="AR540" i="5"/>
  <c r="AQ540" i="5"/>
  <c r="AQ510" i="5"/>
  <c r="AR510" i="5"/>
  <c r="AQ398" i="5"/>
  <c r="AK55" i="5"/>
  <c r="AL55" i="5"/>
  <c r="AM51" i="4"/>
  <c r="AN51" i="4" s="1"/>
  <c r="W51" i="4"/>
  <c r="Y51" i="4" s="1"/>
  <c r="Z51" i="4" s="1"/>
  <c r="AL99" i="5"/>
  <c r="AK99" i="5"/>
  <c r="V7" i="5"/>
  <c r="U7" i="5"/>
  <c r="AM28" i="4"/>
  <c r="AN28" i="4" s="1"/>
  <c r="W28" i="4"/>
  <c r="Y28" i="4" s="1"/>
  <c r="Z28" i="4" s="1"/>
  <c r="AK240" i="5"/>
  <c r="AL240" i="5"/>
  <c r="AK455" i="5"/>
  <c r="AL455" i="5"/>
  <c r="AK411" i="5"/>
  <c r="AL411" i="5"/>
  <c r="AP411" i="5"/>
  <c r="AK464" i="5"/>
  <c r="AL464" i="5"/>
  <c r="AL71" i="5"/>
  <c r="AK71" i="5"/>
  <c r="AP71" i="5"/>
  <c r="AP167" i="5"/>
  <c r="AK167" i="5"/>
  <c r="AL167" i="5"/>
  <c r="AK435" i="5"/>
  <c r="AL435" i="5"/>
  <c r="AP435" i="5"/>
  <c r="AL233" i="5"/>
  <c r="AK233" i="5"/>
  <c r="AK276" i="5"/>
  <c r="AL276" i="5"/>
  <c r="AL386" i="5"/>
  <c r="AK386" i="5"/>
  <c r="AK375" i="5"/>
  <c r="AL375" i="5"/>
  <c r="AP375" i="5"/>
  <c r="AK285" i="5"/>
  <c r="AL285" i="5"/>
  <c r="AL362" i="5"/>
  <c r="AP362" i="5"/>
  <c r="AK362" i="5"/>
  <c r="AK229" i="5"/>
  <c r="AL229" i="5"/>
  <c r="AK49" i="5"/>
  <c r="AP49" i="5"/>
  <c r="AL49" i="5"/>
  <c r="AP518" i="5"/>
  <c r="AL518" i="5"/>
  <c r="AK518" i="5"/>
  <c r="AK363" i="5"/>
  <c r="AL363" i="5"/>
  <c r="AK185" i="5"/>
  <c r="AP185" i="5"/>
  <c r="AL185" i="5"/>
  <c r="AK471" i="5"/>
  <c r="AL471" i="5"/>
  <c r="AP471" i="5"/>
  <c r="AL470" i="5"/>
  <c r="AK470" i="5"/>
  <c r="AK255" i="5"/>
  <c r="AL255" i="5"/>
  <c r="AL92" i="5"/>
  <c r="AK92" i="5"/>
  <c r="AK472" i="5"/>
  <c r="AL472" i="5"/>
  <c r="AP472" i="5"/>
  <c r="AK348" i="5"/>
  <c r="AL348" i="5"/>
  <c r="AL238" i="5"/>
  <c r="AK238" i="5"/>
  <c r="AK29" i="5"/>
  <c r="AL29" i="5"/>
  <c r="AK443" i="5"/>
  <c r="AL443" i="5"/>
  <c r="AP443" i="5"/>
  <c r="AP292" i="5"/>
  <c r="AL292" i="5"/>
  <c r="AK292" i="5"/>
  <c r="AK80" i="5"/>
  <c r="AP80" i="5"/>
  <c r="AL80" i="5"/>
  <c r="AK532" i="5"/>
  <c r="AP532" i="5"/>
  <c r="AL532" i="5"/>
  <c r="AL387" i="5"/>
  <c r="AK387" i="5"/>
  <c r="AK243" i="5"/>
  <c r="AL243" i="5"/>
  <c r="AP243" i="5"/>
  <c r="AK75" i="5"/>
  <c r="AL75" i="5"/>
  <c r="AP75" i="5"/>
  <c r="AK62" i="5"/>
  <c r="AP62" i="5"/>
  <c r="AL62" i="5"/>
  <c r="AL526" i="5"/>
  <c r="AK526" i="5"/>
  <c r="AP526" i="5"/>
  <c r="AK388" i="5"/>
  <c r="AL388" i="5"/>
  <c r="AP388" i="5"/>
  <c r="AK237" i="5"/>
  <c r="AL237" i="5"/>
  <c r="AL28" i="5"/>
  <c r="AK28" i="5"/>
  <c r="AP28" i="5"/>
  <c r="AK523" i="5"/>
  <c r="AL523" i="5"/>
  <c r="AK316" i="5"/>
  <c r="AL316" i="5"/>
  <c r="AK236" i="5"/>
  <c r="AL236" i="5"/>
  <c r="AP236" i="5"/>
  <c r="AL125" i="5"/>
  <c r="AK125" i="5"/>
  <c r="AP125" i="5"/>
  <c r="AK452" i="5"/>
  <c r="AL452" i="5"/>
  <c r="AK428" i="5"/>
  <c r="AL428" i="5"/>
  <c r="AL252" i="5"/>
  <c r="AK252" i="5"/>
  <c r="AK156" i="5"/>
  <c r="AP156" i="5"/>
  <c r="AL156" i="5"/>
  <c r="AL46" i="5"/>
  <c r="AK46" i="5"/>
  <c r="AP46" i="5"/>
  <c r="AL508" i="5"/>
  <c r="AK508" i="5"/>
  <c r="AP508" i="5"/>
  <c r="AL412" i="5"/>
  <c r="AK412" i="5"/>
  <c r="AK177" i="5"/>
  <c r="AL177" i="5"/>
  <c r="AP177" i="5"/>
  <c r="AK110" i="5"/>
  <c r="AL110" i="5"/>
  <c r="AL42" i="5"/>
  <c r="AK42" i="5"/>
  <c r="AL502" i="5"/>
  <c r="AK502" i="5"/>
  <c r="AP502" i="5"/>
  <c r="AK346" i="5"/>
  <c r="AL346" i="5"/>
  <c r="AK189" i="5"/>
  <c r="AL189" i="5"/>
  <c r="AK68" i="5"/>
  <c r="AL68" i="5"/>
  <c r="AP68" i="5"/>
  <c r="AL251" i="5"/>
  <c r="AK251" i="5"/>
  <c r="AP251" i="5"/>
  <c r="AK102" i="5"/>
  <c r="AL102" i="5"/>
  <c r="AP102" i="5"/>
  <c r="AK26" i="5"/>
  <c r="AL26" i="5"/>
  <c r="AK479" i="5"/>
  <c r="AL479" i="5"/>
  <c r="AP479" i="5"/>
  <c r="W120" i="4"/>
  <c r="Y120" i="4" s="1"/>
  <c r="AM120" i="4"/>
  <c r="AN120" i="4" s="1"/>
  <c r="AL369" i="5"/>
  <c r="AK369" i="5"/>
  <c r="AP369" i="5"/>
  <c r="AK376" i="5"/>
  <c r="AP376" i="5"/>
  <c r="AL376" i="5"/>
  <c r="AL95" i="5"/>
  <c r="AK95" i="5"/>
  <c r="AP95" i="5"/>
  <c r="AK351" i="5"/>
  <c r="AL351" i="5"/>
  <c r="Y12" i="5"/>
  <c r="X12" i="5"/>
  <c r="AK152" i="5"/>
  <c r="AP152" i="5"/>
  <c r="AL152" i="5"/>
  <c r="AN7" i="5"/>
  <c r="AO7" i="5"/>
  <c r="AM90" i="4"/>
  <c r="AN90" i="4" s="1"/>
  <c r="W90" i="4"/>
  <c r="Y90" i="4" s="1"/>
  <c r="AM114" i="4"/>
  <c r="AN114" i="4" s="1"/>
  <c r="W114" i="4"/>
  <c r="Y114" i="4" s="1"/>
  <c r="Z114" i="4" s="1"/>
  <c r="AM113" i="4"/>
  <c r="AN113" i="4" s="1"/>
  <c r="W113" i="4"/>
  <c r="Y113" i="4" s="1"/>
  <c r="AK416" i="5"/>
  <c r="AL416" i="5"/>
  <c r="AP416" i="5"/>
  <c r="AI7" i="5"/>
  <c r="AH7" i="5"/>
  <c r="AP7" i="5"/>
  <c r="AP431" i="5"/>
  <c r="AL431" i="5"/>
  <c r="AK431" i="5"/>
  <c r="W55" i="4"/>
  <c r="Y55" i="4" s="1"/>
  <c r="AL353" i="5"/>
  <c r="AK353" i="5"/>
  <c r="AP353" i="5"/>
  <c r="AK113" i="5"/>
  <c r="AL113" i="5"/>
  <c r="AK534" i="5"/>
  <c r="AL534" i="5"/>
  <c r="AP534" i="5"/>
  <c r="AL31" i="5"/>
  <c r="AK31" i="5"/>
  <c r="AH99" i="4"/>
  <c r="Z98" i="4"/>
  <c r="AF98" i="4" s="1"/>
  <c r="AL81" i="5"/>
  <c r="AK81" i="5"/>
  <c r="AK160" i="5"/>
  <c r="AL160" i="5"/>
  <c r="AK135" i="5"/>
  <c r="AL135" i="5"/>
  <c r="AH153" i="4"/>
  <c r="AP452" i="5"/>
  <c r="AK531" i="5"/>
  <c r="AL531" i="5"/>
  <c r="AP208" i="5"/>
  <c r="AK208" i="5"/>
  <c r="AL208" i="5"/>
  <c r="AK389" i="5"/>
  <c r="AL389" i="5"/>
  <c r="AK501" i="5"/>
  <c r="AP501" i="5"/>
  <c r="AL501" i="5"/>
  <c r="AL374" i="5"/>
  <c r="AK374" i="5"/>
  <c r="AP374" i="5"/>
  <c r="AL215" i="5"/>
  <c r="AK215" i="5"/>
  <c r="AP215" i="5"/>
  <c r="AL24" i="5"/>
  <c r="AK24" i="5"/>
  <c r="AK466" i="5"/>
  <c r="AL466" i="5"/>
  <c r="AL325" i="5"/>
  <c r="AP325" i="5"/>
  <c r="AK325" i="5"/>
  <c r="AK123" i="5"/>
  <c r="AL123" i="5"/>
  <c r="AP123" i="5"/>
  <c r="AP468" i="5"/>
  <c r="AK468" i="5"/>
  <c r="AL468" i="5"/>
  <c r="AK407" i="5"/>
  <c r="AL407" i="5"/>
  <c r="AP407" i="5"/>
  <c r="AK284" i="5"/>
  <c r="AL284" i="5"/>
  <c r="AK73" i="5"/>
  <c r="AL73" i="5"/>
  <c r="AP73" i="5"/>
  <c r="AL414" i="5"/>
  <c r="AK414" i="5"/>
  <c r="AP414" i="5"/>
  <c r="AL408" i="5"/>
  <c r="AK408" i="5"/>
  <c r="AP408" i="5"/>
  <c r="AK196" i="5"/>
  <c r="AL196" i="5"/>
  <c r="AP196" i="5"/>
  <c r="AK557" i="5"/>
  <c r="AL557" i="5"/>
  <c r="AK505" i="5"/>
  <c r="AL505" i="5"/>
  <c r="AP505" i="5"/>
  <c r="AL315" i="5"/>
  <c r="AK315" i="5"/>
  <c r="AP315" i="5"/>
  <c r="AL128" i="5"/>
  <c r="AK128" i="5"/>
  <c r="AK538" i="5"/>
  <c r="AL538" i="5"/>
  <c r="AP538" i="5"/>
  <c r="AL406" i="5"/>
  <c r="AK406" i="5"/>
  <c r="AK181" i="5"/>
  <c r="AL181" i="5"/>
  <c r="AL63" i="5"/>
  <c r="AK63" i="5"/>
  <c r="AP63" i="5"/>
  <c r="AK39" i="5"/>
  <c r="AL39" i="5"/>
  <c r="AP39" i="5"/>
  <c r="AK437" i="5"/>
  <c r="AL437" i="5"/>
  <c r="AK434" i="5"/>
  <c r="AL434" i="5"/>
  <c r="AK204" i="5"/>
  <c r="AL204" i="5"/>
  <c r="AP204" i="5"/>
  <c r="AK514" i="5"/>
  <c r="AL514" i="5"/>
  <c r="AP514" i="5"/>
  <c r="AK492" i="5"/>
  <c r="AL492" i="5"/>
  <c r="AL286" i="5"/>
  <c r="AK286" i="5"/>
  <c r="AL172" i="5"/>
  <c r="AK172" i="5"/>
  <c r="AP172" i="5"/>
  <c r="AK85" i="5"/>
  <c r="AL85" i="5"/>
  <c r="AP85" i="5"/>
  <c r="AK552" i="5"/>
  <c r="AL552" i="5"/>
  <c r="AL381" i="5"/>
  <c r="AK381" i="5"/>
  <c r="AL322" i="5"/>
  <c r="AP322" i="5"/>
  <c r="AK322" i="5"/>
  <c r="AK164" i="5"/>
  <c r="AL164" i="5"/>
  <c r="AK497" i="5"/>
  <c r="AL497" i="5"/>
  <c r="AL418" i="5"/>
  <c r="AK418" i="5"/>
  <c r="AL356" i="5"/>
  <c r="AK356" i="5"/>
  <c r="AK305" i="5"/>
  <c r="AL305" i="5"/>
  <c r="AK149" i="5"/>
  <c r="AL149" i="5"/>
  <c r="AP44" i="5"/>
  <c r="AK44" i="5"/>
  <c r="AL44" i="5"/>
  <c r="AL506" i="5"/>
  <c r="AK506" i="5"/>
  <c r="AK333" i="5"/>
  <c r="AL333" i="5"/>
  <c r="AL234" i="5"/>
  <c r="AK234" i="5"/>
  <c r="AL38" i="5"/>
  <c r="AK38" i="5"/>
  <c r="AL329" i="5"/>
  <c r="AK329" i="5"/>
  <c r="AP329" i="5"/>
  <c r="AL141" i="5"/>
  <c r="AK141" i="5"/>
  <c r="AK256" i="5"/>
  <c r="AL256" i="5"/>
  <c r="AK447" i="5"/>
  <c r="AL447" i="5"/>
  <c r="AL112" i="5"/>
  <c r="AK112" i="5"/>
  <c r="AM92" i="4"/>
  <c r="AN92" i="4" s="1"/>
  <c r="W92" i="4"/>
  <c r="Y92" i="4" s="1"/>
  <c r="Z92" i="4" s="1"/>
  <c r="AP12" i="5"/>
  <c r="AI12" i="5"/>
  <c r="AH12" i="5"/>
  <c r="AP164" i="5"/>
  <c r="AP305" i="5"/>
  <c r="AK459" i="5"/>
  <c r="AL459" i="5"/>
  <c r="AP459" i="5"/>
  <c r="AK88" i="5"/>
  <c r="AL88" i="5"/>
  <c r="AP88" i="5"/>
  <c r="AL541" i="5"/>
  <c r="AK541" i="5"/>
  <c r="AP541" i="5"/>
  <c r="AM50" i="4"/>
  <c r="AN50" i="4" s="1"/>
  <c r="W50" i="4"/>
  <c r="Y50" i="4" s="1"/>
  <c r="Z50" i="4" s="1"/>
  <c r="AL56" i="5"/>
  <c r="AK56" i="5"/>
  <c r="AL144" i="5"/>
  <c r="AK144" i="5"/>
  <c r="AK368" i="5"/>
  <c r="AL368" i="5"/>
  <c r="AK7" i="5"/>
  <c r="AL7" i="5"/>
  <c r="AQ175" i="5"/>
  <c r="AR175" i="5"/>
  <c r="AQ335" i="5"/>
  <c r="AQ51" i="5"/>
  <c r="AR51" i="5"/>
  <c r="AM122" i="4"/>
  <c r="AN122" i="4" s="1"/>
  <c r="W122" i="4"/>
  <c r="Y122" i="4" s="1"/>
  <c r="Z122" i="4" s="1"/>
  <c r="AK525" i="5"/>
  <c r="AL525" i="5"/>
  <c r="AK489" i="5"/>
  <c r="AL489" i="5"/>
  <c r="AP489" i="5"/>
  <c r="AM89" i="4"/>
  <c r="AN89" i="4" s="1"/>
  <c r="W89" i="4"/>
  <c r="Y89" i="4" s="1"/>
  <c r="Z89" i="4" s="1"/>
  <c r="AF89" i="4" s="1"/>
  <c r="AM78" i="4"/>
  <c r="AN78" i="4" s="1"/>
  <c r="W78" i="4"/>
  <c r="Y78" i="4" s="1"/>
  <c r="Z78" i="4" s="1"/>
  <c r="AF78" i="4" s="1"/>
  <c r="AK89" i="5"/>
  <c r="AL89" i="5"/>
  <c r="AP399" i="5"/>
  <c r="AK399" i="5"/>
  <c r="AL399" i="5"/>
  <c r="AM119" i="4"/>
  <c r="AN119" i="4" s="1"/>
  <c r="W119" i="4"/>
  <c r="Y119" i="4" s="1"/>
  <c r="Z119" i="4" s="1"/>
  <c r="AK449" i="5"/>
  <c r="AL449" i="5"/>
  <c r="AK359" i="5"/>
  <c r="AL359" i="5"/>
  <c r="AM138" i="4"/>
  <c r="AN138" i="4" s="1"/>
  <c r="W138" i="4"/>
  <c r="Y138" i="4" s="1"/>
  <c r="Z138" i="4" s="1"/>
  <c r="AM36" i="4"/>
  <c r="AN36" i="4" s="1"/>
  <c r="W36" i="4"/>
  <c r="Y36" i="4" s="1"/>
  <c r="Z36" i="4" s="1"/>
  <c r="AF36" i="4" s="1"/>
  <c r="AP412" i="5"/>
  <c r="AK495" i="5"/>
  <c r="AL495" i="5"/>
  <c r="AK536" i="5"/>
  <c r="AL536" i="5"/>
  <c r="AL493" i="5"/>
  <c r="AK493" i="5"/>
  <c r="AL433" i="5"/>
  <c r="AP433" i="5"/>
  <c r="AK433" i="5"/>
  <c r="AL427" i="5"/>
  <c r="AP427" i="5"/>
  <c r="AK427" i="5"/>
  <c r="AK162" i="5"/>
  <c r="AL162" i="5"/>
  <c r="AL543" i="5"/>
  <c r="AK543" i="5"/>
  <c r="AP543" i="5"/>
  <c r="AP288" i="5"/>
  <c r="AL288" i="5"/>
  <c r="AK288" i="5"/>
  <c r="AK245" i="5"/>
  <c r="AL245" i="5"/>
  <c r="AK87" i="5"/>
  <c r="AL87" i="5"/>
  <c r="AL261" i="5"/>
  <c r="AK261" i="5"/>
  <c r="AK323" i="5"/>
  <c r="AL323" i="5"/>
  <c r="AP323" i="5"/>
  <c r="AL209" i="5"/>
  <c r="AK209" i="5"/>
  <c r="AP209" i="5"/>
  <c r="AK66" i="5"/>
  <c r="AL66" i="5"/>
  <c r="AK503" i="5"/>
  <c r="AL503" i="5"/>
  <c r="AP503" i="5"/>
  <c r="AL344" i="5"/>
  <c r="AP344" i="5"/>
  <c r="AK344" i="5"/>
  <c r="AL168" i="5"/>
  <c r="AK168" i="5"/>
  <c r="AP168" i="5"/>
  <c r="AL554" i="5"/>
  <c r="AK554" i="5"/>
  <c r="AP554" i="5"/>
  <c r="AK444" i="5"/>
  <c r="AL444" i="5"/>
  <c r="AK248" i="5"/>
  <c r="AL248" i="5"/>
  <c r="AP248" i="5"/>
  <c r="AL104" i="5"/>
  <c r="AK104" i="5"/>
  <c r="AK458" i="5"/>
  <c r="AL458" i="5"/>
  <c r="AL336" i="5"/>
  <c r="AK336" i="5"/>
  <c r="AP336" i="5"/>
  <c r="AK219" i="5"/>
  <c r="AL219" i="5"/>
  <c r="AL25" i="5"/>
  <c r="AK25" i="5"/>
  <c r="AK23" i="5"/>
  <c r="AL23" i="5"/>
  <c r="AL266" i="5"/>
  <c r="AK266" i="5"/>
  <c r="AP266" i="5"/>
  <c r="AK377" i="5"/>
  <c r="AL377" i="5"/>
  <c r="AP377" i="5"/>
  <c r="AP179" i="5"/>
  <c r="AK179" i="5"/>
  <c r="AL179" i="5"/>
  <c r="AL462" i="5"/>
  <c r="AK462" i="5"/>
  <c r="AK429" i="5"/>
  <c r="AL429" i="5"/>
  <c r="AP429" i="5"/>
  <c r="AL258" i="5"/>
  <c r="AK258" i="5"/>
  <c r="AK228" i="5"/>
  <c r="AL228" i="5"/>
  <c r="AP228" i="5"/>
  <c r="AL60" i="5"/>
  <c r="AK60" i="5"/>
  <c r="AP60" i="5"/>
  <c r="AK485" i="5"/>
  <c r="AL485" i="5"/>
  <c r="AK300" i="5"/>
  <c r="AL300" i="5"/>
  <c r="AK310" i="5"/>
  <c r="AL310" i="5"/>
  <c r="AP310" i="5"/>
  <c r="AL114" i="5"/>
  <c r="AP114" i="5"/>
  <c r="AK114" i="5"/>
  <c r="AK535" i="5"/>
  <c r="AL535" i="5"/>
  <c r="AK482" i="5"/>
  <c r="AL482" i="5"/>
  <c r="AP482" i="5"/>
  <c r="AL340" i="5"/>
  <c r="AK340" i="5"/>
  <c r="AP269" i="5"/>
  <c r="AK269" i="5"/>
  <c r="AL269" i="5"/>
  <c r="AL118" i="5"/>
  <c r="AK118" i="5"/>
  <c r="AK486" i="5"/>
  <c r="AL486" i="5"/>
  <c r="AL446" i="5"/>
  <c r="AK446" i="5"/>
  <c r="AP446" i="5"/>
  <c r="AK221" i="5"/>
  <c r="AL221" i="5"/>
  <c r="AP242" i="5"/>
  <c r="AK242" i="5"/>
  <c r="AL242" i="5"/>
  <c r="AL370" i="5"/>
  <c r="AK370" i="5"/>
  <c r="AL294" i="5"/>
  <c r="AK294" i="5"/>
  <c r="AK70" i="5"/>
  <c r="AL70" i="5"/>
  <c r="AK199" i="5"/>
  <c r="AL199" i="5"/>
  <c r="AP351" i="5"/>
  <c r="AM13" i="4"/>
  <c r="AN13" i="4" s="1"/>
  <c r="W13" i="4"/>
  <c r="Y13" i="4" s="1"/>
  <c r="Z13" i="4" s="1"/>
  <c r="AP286" i="5"/>
  <c r="AP523" i="5"/>
  <c r="AK155" i="5"/>
  <c r="AL155" i="5"/>
  <c r="AP155" i="5"/>
  <c r="B80" i="2"/>
  <c r="B143" i="2"/>
  <c r="B75" i="2"/>
  <c r="B108" i="2"/>
  <c r="B109" i="2" s="1"/>
  <c r="B98" i="2"/>
  <c r="AP55" i="5"/>
  <c r="AM82" i="4"/>
  <c r="AN82" i="4" s="1"/>
  <c r="W82" i="4"/>
  <c r="Y82" i="4" s="1"/>
  <c r="Z82" i="4" s="1"/>
  <c r="AF82" i="4" s="1"/>
  <c r="AK12" i="5"/>
  <c r="AL12" i="5"/>
  <c r="AP221" i="5"/>
  <c r="AK224" i="5"/>
  <c r="AL224" i="5"/>
  <c r="AP224" i="5"/>
  <c r="AR109" i="5"/>
  <c r="AQ109" i="5"/>
  <c r="AK223" i="5"/>
  <c r="AL223" i="5"/>
  <c r="AL35" i="5"/>
  <c r="AK35" i="5"/>
  <c r="AP35" i="5"/>
  <c r="AK97" i="5"/>
  <c r="AL97" i="5"/>
  <c r="AK367" i="5"/>
  <c r="AL367" i="5"/>
  <c r="AP367" i="5"/>
  <c r="AM149" i="4"/>
  <c r="AN149" i="4" s="1"/>
  <c r="W149" i="4"/>
  <c r="Y149" i="4" s="1"/>
  <c r="AL107" i="5"/>
  <c r="AK107" i="5"/>
  <c r="AP107" i="5"/>
  <c r="AL328" i="5"/>
  <c r="AK328" i="5"/>
  <c r="AK183" i="5"/>
  <c r="AP183" i="5"/>
  <c r="AL183" i="5"/>
  <c r="AK439" i="5"/>
  <c r="AL439" i="5"/>
  <c r="AR212" i="5"/>
  <c r="AQ212" i="5"/>
  <c r="AL32" i="5"/>
  <c r="AK32" i="5"/>
  <c r="AP32" i="5"/>
  <c r="AL303" i="5"/>
  <c r="AP303" i="5"/>
  <c r="AK303" i="5"/>
  <c r="AM136" i="4"/>
  <c r="AN136" i="4" s="1"/>
  <c r="W136" i="4"/>
  <c r="Y136" i="4" s="1"/>
  <c r="Z136" i="4" s="1"/>
  <c r="AF136" i="4" s="1"/>
  <c r="W17" i="4"/>
  <c r="Y17" i="4" s="1"/>
  <c r="Z17" i="4" s="1"/>
  <c r="AM17" i="4"/>
  <c r="AN17" i="4" s="1"/>
  <c r="AK335" i="5"/>
  <c r="AL335" i="5"/>
  <c r="AL96" i="5"/>
  <c r="AK96" i="5"/>
  <c r="AL47" i="5"/>
  <c r="AK47" i="5"/>
  <c r="AM154" i="4"/>
  <c r="AN154" i="4" s="1"/>
  <c r="W154" i="4"/>
  <c r="Y154" i="4" s="1"/>
  <c r="Z154" i="4" s="1"/>
  <c r="AL265" i="5"/>
  <c r="AK265" i="5"/>
  <c r="AP265" i="5"/>
  <c r="AL121" i="5"/>
  <c r="AK121" i="5"/>
  <c r="AP423" i="5"/>
  <c r="AK423" i="5"/>
  <c r="AL423" i="5"/>
  <c r="AM25" i="4"/>
  <c r="AN25" i="4" s="1"/>
  <c r="AM99" i="4"/>
  <c r="AN99" i="4" s="1"/>
  <c r="W99" i="4"/>
  <c r="Y99" i="4" s="1"/>
  <c r="Z99" i="4" s="1"/>
  <c r="AM112" i="4"/>
  <c r="AN112" i="4" s="1"/>
  <c r="W112" i="4"/>
  <c r="Y112" i="4" s="1"/>
  <c r="Z112" i="4" s="1"/>
  <c r="AF112" i="4" s="1"/>
  <c r="AM153" i="4"/>
  <c r="AN153" i="4" s="1"/>
  <c r="W153" i="4"/>
  <c r="Y153" i="4" s="1"/>
  <c r="Z153" i="4" s="1"/>
  <c r="AL201" i="5"/>
  <c r="AP201" i="5"/>
  <c r="AK201" i="5"/>
  <c r="AL306" i="5"/>
  <c r="AK306" i="5"/>
  <c r="AK400" i="5"/>
  <c r="AL400" i="5"/>
  <c r="AP400" i="5"/>
  <c r="AK212" i="5"/>
  <c r="AL212" i="5"/>
  <c r="AK520" i="5"/>
  <c r="AL520" i="5"/>
  <c r="AK365" i="5"/>
  <c r="AL365" i="5"/>
  <c r="AL178" i="5"/>
  <c r="AK178" i="5"/>
  <c r="AL475" i="5"/>
  <c r="AK475" i="5"/>
  <c r="AP475" i="5"/>
  <c r="AK476" i="5"/>
  <c r="AL476" i="5"/>
  <c r="AK268" i="5"/>
  <c r="AL268" i="5"/>
  <c r="AP268" i="5"/>
  <c r="AK98" i="5"/>
  <c r="AP98" i="5"/>
  <c r="AL98" i="5"/>
  <c r="AK491" i="5"/>
  <c r="AL491" i="5"/>
  <c r="AK364" i="5"/>
  <c r="AL364" i="5"/>
  <c r="AL244" i="5"/>
  <c r="AK244" i="5"/>
  <c r="AL30" i="5"/>
  <c r="AK30" i="5"/>
  <c r="AK450" i="5"/>
  <c r="AL450" i="5"/>
  <c r="AL304" i="5"/>
  <c r="AK304" i="5"/>
  <c r="AK86" i="5"/>
  <c r="AL86" i="5"/>
  <c r="AP86" i="5"/>
  <c r="AL549" i="5"/>
  <c r="AK549" i="5"/>
  <c r="AP549" i="5"/>
  <c r="AK391" i="5"/>
  <c r="AL391" i="5"/>
  <c r="AP391" i="5"/>
  <c r="AL247" i="5"/>
  <c r="AP247" i="5"/>
  <c r="AK247" i="5"/>
  <c r="AL76" i="5"/>
  <c r="AK76" i="5"/>
  <c r="AP76" i="5"/>
  <c r="AL393" i="5"/>
  <c r="AP393" i="5"/>
  <c r="AK393" i="5"/>
  <c r="AL390" i="5"/>
  <c r="AK390" i="5"/>
  <c r="AL182" i="5"/>
  <c r="AK182" i="5"/>
  <c r="AK137" i="5"/>
  <c r="AL137" i="5"/>
  <c r="AP137" i="5"/>
  <c r="AM13" i="5"/>
  <c r="T13" i="5"/>
  <c r="AG13" i="5"/>
  <c r="Q13" i="5"/>
  <c r="AJ13" i="5"/>
  <c r="W13" i="5"/>
  <c r="AK481" i="5"/>
  <c r="AL481" i="5"/>
  <c r="AP481" i="5"/>
  <c r="AK355" i="5"/>
  <c r="AL355" i="5"/>
  <c r="AK140" i="5"/>
  <c r="AL140" i="5"/>
  <c r="AL558" i="5"/>
  <c r="AK558" i="5"/>
  <c r="AK405" i="5"/>
  <c r="AL405" i="5"/>
  <c r="AL324" i="5"/>
  <c r="AK324" i="5"/>
  <c r="AK173" i="5"/>
  <c r="AL173" i="5"/>
  <c r="AK61" i="5"/>
  <c r="AL61" i="5"/>
  <c r="AP61" i="5"/>
  <c r="AK445" i="5"/>
  <c r="AL445" i="5"/>
  <c r="AP445" i="5"/>
  <c r="AL354" i="5"/>
  <c r="AK354" i="5"/>
  <c r="AK198" i="5"/>
  <c r="AL198" i="5"/>
  <c r="AP198" i="5"/>
  <c r="AL157" i="5"/>
  <c r="AK157" i="5"/>
  <c r="AL556" i="5"/>
  <c r="AK556" i="5"/>
  <c r="AL461" i="5"/>
  <c r="AK461" i="5"/>
  <c r="AK308" i="5"/>
  <c r="AP308" i="5"/>
  <c r="AL308" i="5"/>
  <c r="AK193" i="5"/>
  <c r="AP193" i="5"/>
  <c r="AL193" i="5"/>
  <c r="AP100" i="5"/>
  <c r="AK100" i="5"/>
  <c r="AL100" i="5"/>
  <c r="AL548" i="5"/>
  <c r="AK548" i="5"/>
  <c r="AL338" i="5"/>
  <c r="AK338" i="5"/>
  <c r="AL314" i="5"/>
  <c r="AK314" i="5"/>
  <c r="AL180" i="5"/>
  <c r="AK180" i="5"/>
  <c r="AP180" i="5"/>
  <c r="AK345" i="5"/>
  <c r="AL345" i="5"/>
  <c r="AL253" i="5"/>
  <c r="AK253" i="5"/>
  <c r="AP253" i="5"/>
  <c r="AK58" i="5"/>
  <c r="AL58" i="5"/>
  <c r="AP160" i="5"/>
  <c r="AP466" i="5"/>
  <c r="AL395" i="5"/>
  <c r="AP395" i="5"/>
  <c r="AK395" i="5"/>
  <c r="AP363" i="5"/>
  <c r="AK504" i="5"/>
  <c r="AL504" i="5"/>
  <c r="AP504" i="5"/>
  <c r="V12" i="5"/>
  <c r="U12" i="5"/>
  <c r="AQ333" i="5"/>
  <c r="AR333" i="5"/>
  <c r="AK311" i="5"/>
  <c r="AP311" i="5"/>
  <c r="AL311" i="5"/>
  <c r="AM131" i="4"/>
  <c r="AN131" i="4" s="1"/>
  <c r="W131" i="4"/>
  <c r="Y131" i="4" s="1"/>
  <c r="AK111" i="5"/>
  <c r="AL111" i="5"/>
  <c r="AP111" i="5"/>
  <c r="AL40" i="5"/>
  <c r="AK40" i="5"/>
  <c r="AP40" i="5"/>
  <c r="AL280" i="5"/>
  <c r="AK280" i="5"/>
  <c r="AM124" i="4"/>
  <c r="AN124" i="4" s="1"/>
  <c r="W124" i="4"/>
  <c r="Y124" i="4" s="1"/>
  <c r="Z124" i="4" s="1"/>
  <c r="AP328" i="5"/>
  <c r="X7" i="5"/>
  <c r="Y7" i="5"/>
  <c r="AQ348" i="5"/>
  <c r="AR348" i="5"/>
  <c r="AL119" i="5"/>
  <c r="AK119" i="5"/>
  <c r="AM42" i="4"/>
  <c r="AN42" i="4" s="1"/>
  <c r="W42" i="4"/>
  <c r="Y42" i="4" s="1"/>
  <c r="AK79" i="5"/>
  <c r="AL79" i="5"/>
  <c r="AL143" i="5"/>
  <c r="AK143" i="5"/>
  <c r="AK313" i="5"/>
  <c r="AL313" i="5"/>
  <c r="AK72" i="5"/>
  <c r="AL72" i="5"/>
  <c r="AL264" i="5"/>
  <c r="AK264" i="5"/>
  <c r="AK320" i="5"/>
  <c r="AP320" i="5"/>
  <c r="AL320" i="5"/>
  <c r="AL207" i="5"/>
  <c r="AK207" i="5"/>
  <c r="AP207" i="5"/>
  <c r="W87" i="4"/>
  <c r="Y87" i="4" s="1"/>
  <c r="AM87" i="4"/>
  <c r="AN87" i="4" s="1"/>
  <c r="AL473" i="5"/>
  <c r="AK473" i="5"/>
  <c r="AM11" i="4"/>
  <c r="AN11" i="4" s="1"/>
  <c r="W11" i="4"/>
  <c r="Y11" i="4" s="1"/>
  <c r="Z11" i="4" s="1"/>
  <c r="AP464" i="5"/>
  <c r="AL553" i="5"/>
  <c r="AK553" i="5"/>
  <c r="B105" i="2"/>
  <c r="B106" i="2" s="1"/>
  <c r="B74" i="2"/>
  <c r="B95" i="2"/>
  <c r="AL546" i="5"/>
  <c r="AK546" i="5"/>
  <c r="AP546" i="5"/>
  <c r="AK175" i="5"/>
  <c r="AL175" i="5"/>
  <c r="AK10" i="5"/>
  <c r="AL10" i="5"/>
  <c r="AL469" i="5"/>
  <c r="AP469" i="5"/>
  <c r="AK469" i="5"/>
  <c r="AK334" i="5"/>
  <c r="AP334" i="5"/>
  <c r="AL334" i="5"/>
  <c r="AL129" i="5"/>
  <c r="AK129" i="5"/>
  <c r="AK516" i="5"/>
  <c r="AL516" i="5"/>
  <c r="AK409" i="5"/>
  <c r="AL409" i="5"/>
  <c r="AP409" i="5"/>
  <c r="AK290" i="5"/>
  <c r="AL290" i="5"/>
  <c r="AK91" i="5"/>
  <c r="AL91" i="5"/>
  <c r="AL424" i="5"/>
  <c r="AK424" i="5"/>
  <c r="AP424" i="5"/>
  <c r="AK419" i="5"/>
  <c r="AL419" i="5"/>
  <c r="AK124" i="5"/>
  <c r="AL124" i="5"/>
  <c r="AP124" i="5"/>
  <c r="AK474" i="5"/>
  <c r="AL474" i="5"/>
  <c r="AK511" i="5"/>
  <c r="AL511" i="5"/>
  <c r="AP511" i="5"/>
  <c r="AK332" i="5"/>
  <c r="AL332" i="5"/>
  <c r="AL146" i="5"/>
  <c r="AK146" i="5"/>
  <c r="AL540" i="5"/>
  <c r="AK540" i="5"/>
  <c r="AK415" i="5"/>
  <c r="AL415" i="5"/>
  <c r="AP415" i="5"/>
  <c r="AK192" i="5"/>
  <c r="AL192" i="5"/>
  <c r="AL69" i="5"/>
  <c r="AK69" i="5"/>
  <c r="AL494" i="5"/>
  <c r="AK494" i="5"/>
  <c r="AL296" i="5"/>
  <c r="AK296" i="5"/>
  <c r="AL154" i="5"/>
  <c r="AK154" i="5"/>
  <c r="AK151" i="5"/>
  <c r="AL151" i="5"/>
  <c r="AP151" i="5"/>
  <c r="AP19" i="5"/>
  <c r="AL19" i="5"/>
  <c r="AK19" i="5"/>
  <c r="AK373" i="5"/>
  <c r="AL373" i="5"/>
  <c r="AP373" i="5"/>
  <c r="AL267" i="5"/>
  <c r="AK267" i="5"/>
  <c r="AK134" i="5"/>
  <c r="AL134" i="5"/>
  <c r="AK490" i="5"/>
  <c r="AP490" i="5"/>
  <c r="AL490" i="5"/>
  <c r="AK382" i="5"/>
  <c r="AL382" i="5"/>
  <c r="AL301" i="5"/>
  <c r="AK301" i="5"/>
  <c r="AK166" i="5"/>
  <c r="AL166" i="5"/>
  <c r="AK52" i="5"/>
  <c r="AL52" i="5"/>
  <c r="AP52" i="5"/>
  <c r="AK421" i="5"/>
  <c r="AL421" i="5"/>
  <c r="AK413" i="5"/>
  <c r="AP413" i="5"/>
  <c r="AL413" i="5"/>
  <c r="AL197" i="5"/>
  <c r="AK197" i="5"/>
  <c r="AP197" i="5"/>
  <c r="AL130" i="5"/>
  <c r="AK130" i="5"/>
  <c r="AK547" i="5"/>
  <c r="AP547" i="5"/>
  <c r="AL547" i="5"/>
  <c r="AP385" i="5"/>
  <c r="AK385" i="5"/>
  <c r="AL385" i="5"/>
  <c r="AL277" i="5"/>
  <c r="AK277" i="5"/>
  <c r="AP277" i="5"/>
  <c r="AK222" i="5"/>
  <c r="AL222" i="5"/>
  <c r="AL109" i="5"/>
  <c r="AK109" i="5"/>
  <c r="AL528" i="5"/>
  <c r="AK528" i="5"/>
  <c r="AK396" i="5"/>
  <c r="AL396" i="5"/>
  <c r="AP254" i="5"/>
  <c r="AK254" i="5"/>
  <c r="AL254" i="5"/>
  <c r="AK133" i="5"/>
  <c r="AL133" i="5"/>
  <c r="AL246" i="5"/>
  <c r="AK246" i="5"/>
  <c r="AP246" i="5"/>
  <c r="AK241" i="5"/>
  <c r="AL241" i="5"/>
  <c r="AP241" i="5"/>
  <c r="AK65" i="5"/>
  <c r="AL65" i="5"/>
  <c r="AP128" i="5"/>
  <c r="AK384" i="5"/>
  <c r="AL384" i="5"/>
  <c r="AP553" i="5"/>
  <c r="AP121" i="5"/>
  <c r="AP154" i="5"/>
  <c r="AP149" i="5"/>
  <c r="AL203" i="5"/>
  <c r="AP203" i="5"/>
  <c r="AK203" i="5"/>
  <c r="AL176" i="5"/>
  <c r="AK176" i="5"/>
  <c r="AP256" i="5"/>
  <c r="AK448" i="5"/>
  <c r="AL448" i="5"/>
  <c r="AL263" i="5"/>
  <c r="AK263" i="5"/>
  <c r="AP263" i="5"/>
  <c r="AP316" i="5"/>
  <c r="AP285" i="5"/>
  <c r="AP294" i="5"/>
  <c r="AP115" i="5"/>
  <c r="AK115" i="5"/>
  <c r="AL115" i="5"/>
  <c r="AQ47" i="5"/>
  <c r="AL339" i="5"/>
  <c r="AP339" i="5"/>
  <c r="AK339" i="5"/>
  <c r="AL360" i="5"/>
  <c r="AK360" i="5"/>
  <c r="AK127" i="5"/>
  <c r="AL127" i="5"/>
  <c r="AR225" i="5"/>
  <c r="AQ225" i="5"/>
  <c r="AR273" i="5"/>
  <c r="AQ273" i="5"/>
  <c r="AK83" i="5"/>
  <c r="AL83" i="5"/>
  <c r="AP83" i="5"/>
  <c r="AK48" i="5"/>
  <c r="AL48" i="5"/>
  <c r="AP240" i="5"/>
  <c r="AK488" i="5"/>
  <c r="AL488" i="5"/>
  <c r="AM147" i="4"/>
  <c r="AN147" i="4" s="1"/>
  <c r="W147" i="4"/>
  <c r="Y147" i="4" s="1"/>
  <c r="Z147" i="4" s="1"/>
  <c r="AP113" i="5"/>
  <c r="AP96" i="5"/>
  <c r="AK216" i="5"/>
  <c r="AL216" i="5"/>
  <c r="AK271" i="5"/>
  <c r="AL271" i="5"/>
  <c r="AP271" i="5"/>
  <c r="AK430" i="5"/>
  <c r="AL430" i="5"/>
  <c r="AP430" i="5"/>
  <c r="AL456" i="5"/>
  <c r="AK456" i="5"/>
  <c r="AP456" i="5"/>
  <c r="AL545" i="5"/>
  <c r="AK545" i="5"/>
  <c r="AL361" i="5"/>
  <c r="AK361" i="5"/>
  <c r="AP361" i="5"/>
  <c r="AK260" i="5"/>
  <c r="AL260" i="5"/>
  <c r="AK122" i="5"/>
  <c r="AL122" i="5"/>
  <c r="AP122" i="5"/>
  <c r="AP279" i="5"/>
  <c r="AL279" i="5"/>
  <c r="AK279" i="5"/>
  <c r="AL343" i="5"/>
  <c r="AK343" i="5"/>
  <c r="AP343" i="5"/>
  <c r="AK220" i="5"/>
  <c r="AL220" i="5"/>
  <c r="AP220" i="5"/>
  <c r="AK27" i="5"/>
  <c r="AL27" i="5"/>
  <c r="AP27" i="5"/>
  <c r="AK513" i="5"/>
  <c r="AL513" i="5"/>
  <c r="AP513" i="5"/>
  <c r="AK350" i="5"/>
  <c r="AL350" i="5"/>
  <c r="AP174" i="5"/>
  <c r="AK174" i="5"/>
  <c r="AL174" i="5"/>
  <c r="AL560" i="5"/>
  <c r="AK560" i="5"/>
  <c r="AK453" i="5"/>
  <c r="AL453" i="5"/>
  <c r="AP453" i="5"/>
  <c r="AK249" i="5"/>
  <c r="AL249" i="5"/>
  <c r="AP249" i="5"/>
  <c r="AK90" i="5"/>
  <c r="AL90" i="5"/>
  <c r="AP90" i="5"/>
  <c r="AL460" i="5"/>
  <c r="AK460" i="5"/>
  <c r="AL341" i="5"/>
  <c r="AK341" i="5"/>
  <c r="AK235" i="5"/>
  <c r="AL235" i="5"/>
  <c r="AP235" i="5"/>
  <c r="AL37" i="5"/>
  <c r="AK37" i="5"/>
  <c r="AL441" i="5"/>
  <c r="AK441" i="5"/>
  <c r="AP441" i="5"/>
  <c r="AK289" i="5"/>
  <c r="AL289" i="5"/>
  <c r="AP289" i="5"/>
  <c r="AK145" i="5"/>
  <c r="AL145" i="5"/>
  <c r="AP145" i="5"/>
  <c r="AL136" i="5"/>
  <c r="AP136" i="5"/>
  <c r="AK136" i="5"/>
  <c r="AK498" i="5"/>
  <c r="AL498" i="5"/>
  <c r="AP480" i="5"/>
  <c r="AL480" i="5"/>
  <c r="AK480" i="5"/>
  <c r="AL287" i="5"/>
  <c r="AK287" i="5"/>
  <c r="AK106" i="5"/>
  <c r="AL106" i="5"/>
  <c r="AP106" i="5"/>
  <c r="AK422" i="5"/>
  <c r="AL422" i="5"/>
  <c r="AL398" i="5"/>
  <c r="AK398" i="5"/>
  <c r="AK230" i="5"/>
  <c r="AL230" i="5"/>
  <c r="AP230" i="5"/>
  <c r="AK150" i="5"/>
  <c r="AL150" i="5"/>
  <c r="AP150" i="5"/>
  <c r="AK21" i="5"/>
  <c r="AL21" i="5"/>
  <c r="AK509" i="5"/>
  <c r="AL509" i="5"/>
  <c r="AP509" i="5"/>
  <c r="AL380" i="5"/>
  <c r="AK380" i="5"/>
  <c r="AK226" i="5"/>
  <c r="AL226" i="5"/>
  <c r="AK84" i="5"/>
  <c r="AL84" i="5"/>
  <c r="AP84" i="5"/>
  <c r="AK527" i="5"/>
  <c r="AL527" i="5"/>
  <c r="AL401" i="5"/>
  <c r="AP401" i="5"/>
  <c r="AK401" i="5"/>
  <c r="AK250" i="5"/>
  <c r="AL250" i="5"/>
  <c r="AK194" i="5"/>
  <c r="AL194" i="5"/>
  <c r="AK78" i="5"/>
  <c r="AL78" i="5"/>
  <c r="AP550" i="5"/>
  <c r="AK550" i="5"/>
  <c r="AL550" i="5"/>
  <c r="AK420" i="5"/>
  <c r="AL420" i="5"/>
  <c r="AK330" i="5"/>
  <c r="AL330" i="5"/>
  <c r="AL116" i="5"/>
  <c r="AK116" i="5"/>
  <c r="AP116" i="5"/>
  <c r="AK297" i="5"/>
  <c r="AL297" i="5"/>
  <c r="AP297" i="5"/>
  <c r="AK214" i="5"/>
  <c r="AL214" i="5"/>
  <c r="AK36" i="5"/>
  <c r="AP36" i="5"/>
  <c r="AL36" i="5"/>
  <c r="AK512" i="5"/>
  <c r="AL512" i="5"/>
  <c r="AP473" i="5"/>
  <c r="AP439" i="5"/>
  <c r="AM85" i="4"/>
  <c r="AN85" i="4" s="1"/>
  <c r="W85" i="4"/>
  <c r="Y85" i="4" s="1"/>
  <c r="Z85" i="4" s="1"/>
  <c r="S12" i="5"/>
  <c r="R12" i="5"/>
  <c r="AP89" i="5"/>
  <c r="AP449" i="5"/>
  <c r="AP458" i="5"/>
  <c r="AL59" i="5"/>
  <c r="AK59" i="5"/>
  <c r="AP59" i="5"/>
  <c r="AK457" i="5"/>
  <c r="AL457" i="5"/>
  <c r="AL519" i="5"/>
  <c r="AK519" i="5"/>
  <c r="AP519" i="5"/>
  <c r="AK217" i="5"/>
  <c r="AL217" i="5"/>
  <c r="AK200" i="5"/>
  <c r="AL200" i="5"/>
  <c r="AP200" i="5"/>
  <c r="AM104" i="4"/>
  <c r="AN104" i="4" s="1"/>
  <c r="W104" i="4"/>
  <c r="Y104" i="4" s="1"/>
  <c r="Z104" i="4" s="1"/>
  <c r="AH107" i="4"/>
  <c r="AR548" i="5"/>
  <c r="AQ548" i="5"/>
  <c r="AR300" i="5"/>
  <c r="AM156" i="4"/>
  <c r="AN156" i="4" s="1"/>
  <c r="W156" i="4"/>
  <c r="Y156" i="4" s="1"/>
  <c r="Z156" i="4" s="1"/>
  <c r="AK432" i="5"/>
  <c r="AL432" i="5"/>
  <c r="AP223" i="5"/>
  <c r="W107" i="4"/>
  <c r="Y107" i="4" s="1"/>
  <c r="Z107" i="4" s="1"/>
  <c r="AM107" i="4"/>
  <c r="AN107" i="4" s="1"/>
  <c r="AR38" i="5"/>
  <c r="AQ38" i="5"/>
  <c r="AL8" i="5"/>
  <c r="AK8" i="5"/>
  <c r="AP280" i="5"/>
  <c r="S7" i="5"/>
  <c r="R7" i="5"/>
  <c r="AR159" i="5"/>
  <c r="AH28" i="4"/>
  <c r="W139" i="4"/>
  <c r="Y139" i="4" s="1"/>
  <c r="Z139" i="4" s="1"/>
  <c r="AM139" i="4"/>
  <c r="AN139" i="4" s="1"/>
  <c r="AH90" i="4"/>
  <c r="AL312" i="5"/>
  <c r="AK312" i="5"/>
  <c r="AK295" i="5"/>
  <c r="AL295" i="5"/>
  <c r="AP295" i="5"/>
  <c r="AP455" i="5"/>
  <c r="AL211" i="5"/>
  <c r="AK211" i="5"/>
  <c r="AL347" i="5"/>
  <c r="AK347" i="5"/>
  <c r="AP347" i="5"/>
  <c r="AM88" i="4"/>
  <c r="AN88" i="4" s="1"/>
  <c r="W88" i="4"/>
  <c r="Y88" i="4" s="1"/>
  <c r="Z88" i="4" s="1"/>
  <c r="AP8" i="5"/>
  <c r="AK327" i="5"/>
  <c r="AL327" i="5"/>
  <c r="AM151" i="4"/>
  <c r="AN151" i="4" s="1"/>
  <c r="W151" i="4"/>
  <c r="Y151" i="4" s="1"/>
  <c r="Z151" i="4" s="1"/>
  <c r="AF151" i="4" s="1"/>
  <c r="AP341" i="5"/>
  <c r="AL438" i="5"/>
  <c r="AK438" i="5"/>
  <c r="AK326" i="5"/>
  <c r="AL326" i="5"/>
  <c r="AL318" i="5"/>
  <c r="AK318" i="5"/>
  <c r="AL478" i="5"/>
  <c r="AK478" i="5"/>
  <c r="AP478" i="5"/>
  <c r="AL477" i="5"/>
  <c r="AK477" i="5"/>
  <c r="AK275" i="5"/>
  <c r="AL275" i="5"/>
  <c r="AP275" i="5"/>
  <c r="AK103" i="5"/>
  <c r="AL103" i="5"/>
  <c r="AL496" i="5"/>
  <c r="AK496" i="5"/>
  <c r="AP366" i="5"/>
  <c r="AK366" i="5"/>
  <c r="AL366" i="5"/>
  <c r="AK202" i="5"/>
  <c r="AL202" i="5"/>
  <c r="AK41" i="5"/>
  <c r="AL41" i="5"/>
  <c r="AP41" i="5"/>
  <c r="AK463" i="5"/>
  <c r="AL463" i="5"/>
  <c r="AL319" i="5"/>
  <c r="AK319" i="5"/>
  <c r="AP319" i="5"/>
  <c r="AL108" i="5"/>
  <c r="AK108" i="5"/>
  <c r="AP108" i="5"/>
  <c r="AL559" i="5"/>
  <c r="AK559" i="5"/>
  <c r="AP559" i="5"/>
  <c r="AK397" i="5"/>
  <c r="AL397" i="5"/>
  <c r="AL262" i="5"/>
  <c r="AK262" i="5"/>
  <c r="AK77" i="5"/>
  <c r="AL77" i="5"/>
  <c r="AK402" i="5"/>
  <c r="AL402" i="5"/>
  <c r="AK392" i="5"/>
  <c r="AL392" i="5"/>
  <c r="AK184" i="5"/>
  <c r="AL184" i="5"/>
  <c r="AL555" i="5"/>
  <c r="AP555" i="5"/>
  <c r="AK555" i="5"/>
  <c r="AL500" i="5"/>
  <c r="AP500" i="5"/>
  <c r="AK500" i="5"/>
  <c r="AK309" i="5"/>
  <c r="AP309" i="5"/>
  <c r="AL309" i="5"/>
  <c r="AL126" i="5"/>
  <c r="AK126" i="5"/>
  <c r="AK117" i="5"/>
  <c r="AL117" i="5"/>
  <c r="AK530" i="5"/>
  <c r="AL530" i="5"/>
  <c r="AK352" i="5"/>
  <c r="AL352" i="5"/>
  <c r="AP352" i="5"/>
  <c r="AK321" i="5"/>
  <c r="AL321" i="5"/>
  <c r="AK82" i="5"/>
  <c r="AL82" i="5"/>
  <c r="AL510" i="5"/>
  <c r="AK510" i="5"/>
  <c r="AK358" i="5"/>
  <c r="AL358" i="5"/>
  <c r="AP358" i="5"/>
  <c r="AL317" i="5"/>
  <c r="AK317" i="5"/>
  <c r="AP317" i="5"/>
  <c r="AL132" i="5"/>
  <c r="AP132" i="5"/>
  <c r="AK132" i="5"/>
  <c r="AL20" i="5"/>
  <c r="AK20" i="5"/>
  <c r="AL454" i="5"/>
  <c r="AK454" i="5"/>
  <c r="AK357" i="5"/>
  <c r="AL357" i="5"/>
  <c r="AP357" i="5"/>
  <c r="AL205" i="5"/>
  <c r="AK205" i="5"/>
  <c r="AK54" i="5"/>
  <c r="AL54" i="5"/>
  <c r="AP442" i="5"/>
  <c r="AK442" i="5"/>
  <c r="AL442" i="5"/>
  <c r="AK394" i="5"/>
  <c r="AL394" i="5"/>
  <c r="AL293" i="5"/>
  <c r="AK293" i="5"/>
  <c r="AP293" i="5"/>
  <c r="AK165" i="5"/>
  <c r="AL165" i="5"/>
  <c r="AL74" i="5"/>
  <c r="AP74" i="5"/>
  <c r="AK74" i="5"/>
  <c r="AL542" i="5"/>
  <c r="AK542" i="5"/>
  <c r="AK378" i="5"/>
  <c r="AL378" i="5"/>
  <c r="AL298" i="5"/>
  <c r="AK298" i="5"/>
  <c r="AP298" i="5"/>
  <c r="AK138" i="5"/>
  <c r="AL138" i="5"/>
  <c r="AK270" i="5"/>
  <c r="AL270" i="5"/>
  <c r="AL148" i="5"/>
  <c r="AK148" i="5"/>
  <c r="AK34" i="5"/>
  <c r="AL34" i="5"/>
  <c r="AP91" i="5"/>
  <c r="AK231" i="5"/>
  <c r="AL231" i="5"/>
  <c r="AP231" i="5"/>
  <c r="AP419" i="5"/>
  <c r="AP29" i="5"/>
  <c r="AP389" i="5"/>
  <c r="AP99" i="5"/>
  <c r="AK191" i="5"/>
  <c r="AL191" i="5"/>
  <c r="AP191" i="5"/>
  <c r="AO12" i="5"/>
  <c r="AN12" i="5"/>
  <c r="AP421" i="5"/>
  <c r="AP162" i="5"/>
  <c r="AK131" i="5"/>
  <c r="AL131" i="5"/>
  <c r="AK171" i="5"/>
  <c r="AP171" i="5"/>
  <c r="AL171" i="5"/>
  <c r="AL195" i="5"/>
  <c r="AK195" i="5"/>
  <c r="AP195" i="5"/>
  <c r="AK467" i="5"/>
  <c r="AL467" i="5"/>
  <c r="AP467" i="5"/>
  <c r="AK403" i="5"/>
  <c r="AL403" i="5"/>
  <c r="AP403" i="5"/>
  <c r="AL272" i="5"/>
  <c r="AK272" i="5"/>
  <c r="AP272" i="5"/>
  <c r="AL299" i="5"/>
  <c r="AK299" i="5"/>
  <c r="AK239" i="5"/>
  <c r="AL239" i="5"/>
  <c r="AM80" i="4"/>
  <c r="AN80" i="4" s="1"/>
  <c r="W80" i="4"/>
  <c r="Y80" i="4" s="1"/>
  <c r="Z80" i="4" s="1"/>
  <c r="AL291" i="5"/>
  <c r="AK291" i="5"/>
  <c r="AK487" i="5"/>
  <c r="AL487" i="5"/>
  <c r="AK515" i="5"/>
  <c r="AL515" i="5"/>
  <c r="AP515" i="5"/>
  <c r="X98" i="4"/>
  <c r="AP264" i="5"/>
  <c r="AM41" i="4"/>
  <c r="AN41" i="4" s="1"/>
  <c r="W41" i="4"/>
  <c r="Y41" i="4" s="1"/>
  <c r="Z41" i="4" s="1"/>
  <c r="AF41" i="4" s="1"/>
  <c r="AH36" i="4"/>
  <c r="AL163" i="5"/>
  <c r="AK163" i="5"/>
  <c r="AP163" i="5"/>
  <c r="AP97" i="5"/>
  <c r="AK507" i="5"/>
  <c r="AL507" i="5"/>
  <c r="AP507" i="5"/>
  <c r="AL524" i="5"/>
  <c r="AK524" i="5"/>
  <c r="AL210" i="5"/>
  <c r="AK210" i="5"/>
  <c r="AL522" i="5"/>
  <c r="AK522" i="5"/>
  <c r="AK410" i="5"/>
  <c r="AL410" i="5"/>
  <c r="AL302" i="5"/>
  <c r="AK302" i="5"/>
  <c r="AL67" i="5"/>
  <c r="AK67" i="5"/>
  <c r="AP67" i="5"/>
  <c r="AP425" i="5"/>
  <c r="AK425" i="5"/>
  <c r="AL425" i="5"/>
  <c r="AK426" i="5"/>
  <c r="AL426" i="5"/>
  <c r="AK142" i="5"/>
  <c r="AL142" i="5"/>
  <c r="AK529" i="5"/>
  <c r="AL529" i="5"/>
  <c r="AP529" i="5"/>
  <c r="AP537" i="5"/>
  <c r="AL537" i="5"/>
  <c r="AK537" i="5"/>
  <c r="AL190" i="5"/>
  <c r="AK190" i="5"/>
  <c r="AK161" i="5"/>
  <c r="AL161" i="5"/>
  <c r="AP161" i="5"/>
  <c r="AL544" i="5"/>
  <c r="AK544" i="5"/>
  <c r="AL259" i="5"/>
  <c r="AK259" i="5"/>
  <c r="AK206" i="5"/>
  <c r="AL206" i="5"/>
  <c r="AP206" i="5"/>
  <c r="AL53" i="5"/>
  <c r="AK53" i="5"/>
  <c r="AP53" i="5"/>
  <c r="AK499" i="5"/>
  <c r="AL499" i="5"/>
  <c r="AL337" i="5"/>
  <c r="AK337" i="5"/>
  <c r="AL139" i="5"/>
  <c r="AK139" i="5"/>
  <c r="AP139" i="5"/>
  <c r="AL551" i="5"/>
  <c r="AK551" i="5"/>
  <c r="AL440" i="5"/>
  <c r="AP440" i="5"/>
  <c r="AK440" i="5"/>
  <c r="AK331" i="5"/>
  <c r="AL331" i="5"/>
  <c r="AP331" i="5"/>
  <c r="AK94" i="5"/>
  <c r="AL94" i="5"/>
  <c r="AK93" i="5"/>
  <c r="AL93" i="5"/>
  <c r="AK404" i="5"/>
  <c r="AL404" i="5"/>
  <c r="AL372" i="5"/>
  <c r="AK372" i="5"/>
  <c r="AL232" i="5"/>
  <c r="AK232" i="5"/>
  <c r="AL57" i="5"/>
  <c r="AP57" i="5"/>
  <c r="AK57" i="5"/>
  <c r="AK436" i="5"/>
  <c r="AL436" i="5"/>
  <c r="AK274" i="5"/>
  <c r="AL274" i="5"/>
  <c r="AK278" i="5"/>
  <c r="AL278" i="5"/>
  <c r="AK158" i="5"/>
  <c r="AL158" i="5"/>
  <c r="AK22" i="5"/>
  <c r="AL22" i="5"/>
  <c r="AK484" i="5"/>
  <c r="AL484" i="5"/>
  <c r="AP484" i="5"/>
  <c r="AK282" i="5"/>
  <c r="AP282" i="5"/>
  <c r="AL282" i="5"/>
  <c r="AK170" i="5"/>
  <c r="AL170" i="5"/>
  <c r="AP170" i="5"/>
  <c r="AK45" i="5"/>
  <c r="AL45" i="5"/>
  <c r="AL417" i="5"/>
  <c r="AK417" i="5"/>
  <c r="AK349" i="5"/>
  <c r="AP349" i="5"/>
  <c r="AL349" i="5"/>
  <c r="AK257" i="5"/>
  <c r="AL257" i="5"/>
  <c r="AL186" i="5"/>
  <c r="AK186" i="5"/>
  <c r="AP186" i="5"/>
  <c r="AP50" i="5"/>
  <c r="AL50" i="5"/>
  <c r="AK50" i="5"/>
  <c r="AK517" i="5"/>
  <c r="AL517" i="5"/>
  <c r="AK342" i="5"/>
  <c r="AL342" i="5"/>
  <c r="AP342" i="5"/>
  <c r="AL218" i="5"/>
  <c r="AK218" i="5"/>
  <c r="AK101" i="5"/>
  <c r="AL101" i="5"/>
  <c r="AK213" i="5"/>
  <c r="AP213" i="5"/>
  <c r="AL213" i="5"/>
  <c r="AL188" i="5"/>
  <c r="AP188" i="5"/>
  <c r="AK188" i="5"/>
  <c r="AL33" i="5"/>
  <c r="AP33" i="5"/>
  <c r="AK33" i="5"/>
  <c r="AP31" i="5"/>
  <c r="AM32" i="4"/>
  <c r="AN32" i="4" s="1"/>
  <c r="W32" i="4"/>
  <c r="Y32" i="4" s="1"/>
  <c r="AP499" i="5"/>
  <c r="AK281" i="5"/>
  <c r="AL281" i="5"/>
  <c r="AK120" i="5"/>
  <c r="AL120" i="5"/>
  <c r="AP120" i="5"/>
  <c r="AK159" i="5"/>
  <c r="AL159" i="5"/>
  <c r="AK383" i="5"/>
  <c r="AL383" i="5"/>
  <c r="AK533" i="5"/>
  <c r="AL533" i="5"/>
  <c r="AM81" i="4"/>
  <c r="AN81" i="4" s="1"/>
  <c r="W81" i="4"/>
  <c r="Y81" i="4" s="1"/>
  <c r="Z81" i="4" s="1"/>
  <c r="AP299" i="5"/>
  <c r="AQ176" i="5" l="1"/>
  <c r="AM74" i="4"/>
  <c r="AN74" i="4" s="1"/>
  <c r="AJ73" i="4"/>
  <c r="W68" i="4"/>
  <c r="X68" i="4" s="1"/>
  <c r="AJ68" i="4" s="1"/>
  <c r="Z74" i="4"/>
  <c r="AF74" i="4" s="1"/>
  <c r="W9" i="4"/>
  <c r="Y9" i="4" s="1"/>
  <c r="Z9" i="4" s="1"/>
  <c r="AF9" i="4" s="1"/>
  <c r="AO9" i="4" s="1"/>
  <c r="AM106" i="4"/>
  <c r="AN106" i="4" s="1"/>
  <c r="W64" i="4"/>
  <c r="X64" i="4" s="1"/>
  <c r="AJ64" i="4" s="1"/>
  <c r="W29" i="4"/>
  <c r="Y29" i="4" s="1"/>
  <c r="Z29" i="4" s="1"/>
  <c r="AF29" i="4" s="1"/>
  <c r="AQ428" i="5"/>
  <c r="AR437" i="5"/>
  <c r="AR270" i="5"/>
  <c r="AQ173" i="5"/>
  <c r="W60" i="4"/>
  <c r="Y60" i="4" s="1"/>
  <c r="Z60" i="4" s="1"/>
  <c r="AF60" i="4" s="1"/>
  <c r="AM150" i="4"/>
  <c r="AN150" i="4" s="1"/>
  <c r="Z110" i="4"/>
  <c r="AF110" i="4" s="1"/>
  <c r="AM110" i="4"/>
  <c r="AN110" i="4" s="1"/>
  <c r="Z111" i="4"/>
  <c r="AF111" i="4" s="1"/>
  <c r="AM116" i="4"/>
  <c r="AN116" i="4" s="1"/>
  <c r="W31" i="4"/>
  <c r="Y31" i="4" s="1"/>
  <c r="Z31" i="4" s="1"/>
  <c r="AF31" i="4" s="1"/>
  <c r="AO31" i="4" s="1"/>
  <c r="AQ527" i="5"/>
  <c r="AJ150" i="4"/>
  <c r="W102" i="4"/>
  <c r="Y102" i="4" s="1"/>
  <c r="Z102" i="4" s="1"/>
  <c r="AF102" i="4" s="1"/>
  <c r="AM47" i="4"/>
  <c r="AN47" i="4" s="1"/>
  <c r="AM49" i="4"/>
  <c r="AN49" i="4" s="1"/>
  <c r="W38" i="4"/>
  <c r="X38" i="4" s="1"/>
  <c r="AJ38" i="4" s="1"/>
  <c r="AM65" i="4"/>
  <c r="AN65" i="4" s="1"/>
  <c r="AP10" i="5"/>
  <c r="AR301" i="5"/>
  <c r="AQ544" i="5"/>
  <c r="AQ129" i="5"/>
  <c r="AR512" i="5"/>
  <c r="AR450" i="5"/>
  <c r="AR528" i="5"/>
  <c r="AR539" i="5"/>
  <c r="AR557" i="5"/>
  <c r="AR492" i="5"/>
  <c r="AQ283" i="5"/>
  <c r="AQ227" i="5"/>
  <c r="AR496" i="5"/>
  <c r="AR43" i="5"/>
  <c r="AR72" i="5"/>
  <c r="AQ432" i="5"/>
  <c r="AR105" i="5"/>
  <c r="AQ25" i="5"/>
  <c r="AR332" i="5"/>
  <c r="AR338" i="5"/>
  <c r="AR390" i="5"/>
  <c r="W118" i="4"/>
  <c r="Y118" i="4" s="1"/>
  <c r="Z118" i="4" s="1"/>
  <c r="W63" i="4"/>
  <c r="AE63" i="4" s="1"/>
  <c r="W123" i="4"/>
  <c r="Y123" i="4" s="1"/>
  <c r="Z123" i="4" s="1"/>
  <c r="AF123" i="4" s="1"/>
  <c r="AN118" i="4"/>
  <c r="W95" i="4"/>
  <c r="Y95" i="4" s="1"/>
  <c r="Z95" i="4" s="1"/>
  <c r="AM126" i="4"/>
  <c r="AN126" i="4" s="1"/>
  <c r="W53" i="4"/>
  <c r="Y53" i="4" s="1"/>
  <c r="Z53" i="4" s="1"/>
  <c r="AF53" i="4" s="1"/>
  <c r="AO53" i="4" s="1"/>
  <c r="W48" i="4"/>
  <c r="Y48" i="4" s="1"/>
  <c r="Z48" i="4" s="1"/>
  <c r="AF48" i="4" s="1"/>
  <c r="W75" i="4"/>
  <c r="Y75" i="4" s="1"/>
  <c r="Z75" i="4" s="1"/>
  <c r="AF75" i="4" s="1"/>
  <c r="AO75" i="4" s="1"/>
  <c r="W30" i="4"/>
  <c r="Y30" i="4" s="1"/>
  <c r="Z30" i="4" s="1"/>
  <c r="AF30" i="4" s="1"/>
  <c r="AG30" i="4" s="1"/>
  <c r="AI30" i="4" s="1"/>
  <c r="AQ287" i="5"/>
  <c r="AR141" i="5"/>
  <c r="AQ491" i="5"/>
  <c r="AQ178" i="5"/>
  <c r="AR485" i="5"/>
  <c r="AQ58" i="5"/>
  <c r="AR405" i="5"/>
  <c r="AR313" i="5"/>
  <c r="AR520" i="5"/>
  <c r="AR522" i="5"/>
  <c r="AQ245" i="5"/>
  <c r="AQ119" i="5"/>
  <c r="AR130" i="5"/>
  <c r="AR304" i="5"/>
  <c r="AR506" i="5"/>
  <c r="AQ345" i="5"/>
  <c r="AQ281" i="5"/>
  <c r="AR451" i="5"/>
  <c r="AR380" i="5"/>
  <c r="AR65" i="5"/>
  <c r="AR434" i="5"/>
  <c r="AR290" i="5"/>
  <c r="AR262" i="5"/>
  <c r="AR244" i="5"/>
  <c r="AQ218" i="5"/>
  <c r="AQ93" i="5"/>
  <c r="AQ404" i="5"/>
  <c r="AR69" i="5"/>
  <c r="AR470" i="5"/>
  <c r="AR477" i="5"/>
  <c r="AR418" i="5"/>
  <c r="AQ192" i="5"/>
  <c r="AQ536" i="5"/>
  <c r="AQ112" i="5"/>
  <c r="AR199" i="5"/>
  <c r="AQ134" i="5"/>
  <c r="AQ340" i="5"/>
  <c r="AQ252" i="5"/>
  <c r="AR157" i="5"/>
  <c r="AQ326" i="5"/>
  <c r="AR359" i="5"/>
  <c r="AQ372" i="5"/>
  <c r="AQ387" i="5"/>
  <c r="AR182" i="5"/>
  <c r="AQ110" i="5"/>
  <c r="AR237" i="5"/>
  <c r="AR146" i="5"/>
  <c r="AR92" i="5"/>
  <c r="AR524" i="5"/>
  <c r="AQ127" i="5"/>
  <c r="AR78" i="5"/>
  <c r="AQ118" i="5"/>
  <c r="AR560" i="5"/>
  <c r="AQ306" i="5"/>
  <c r="AQ497" i="5"/>
  <c r="AR483" i="5"/>
  <c r="AR189" i="5"/>
  <c r="AR314" i="5"/>
  <c r="AQ350" i="5"/>
  <c r="AQ24" i="5"/>
  <c r="AQ396" i="5"/>
  <c r="AR205" i="5"/>
  <c r="AR558" i="5"/>
  <c r="AQ460" i="5"/>
  <c r="AR365" i="5"/>
  <c r="AQ402" i="5"/>
  <c r="AR216" i="5"/>
  <c r="AR238" i="5"/>
  <c r="AR312" i="5"/>
  <c r="AQ346" i="5"/>
  <c r="AR461" i="5"/>
  <c r="AR267" i="5"/>
  <c r="AQ48" i="5"/>
  <c r="AR81" i="5"/>
  <c r="AQ454" i="5"/>
  <c r="Z65" i="4"/>
  <c r="AF65" i="4" s="1"/>
  <c r="AM97" i="4"/>
  <c r="AN97" i="4" s="1"/>
  <c r="W86" i="4"/>
  <c r="Y86" i="4" s="1"/>
  <c r="Z86" i="4" s="1"/>
  <c r="W100" i="4"/>
  <c r="X100" i="4" s="1"/>
  <c r="AJ100" i="4" s="1"/>
  <c r="Z106" i="4"/>
  <c r="AF106" i="4" s="1"/>
  <c r="AO106" i="4" s="1"/>
  <c r="W91" i="4"/>
  <c r="X91" i="4" s="1"/>
  <c r="AJ91" i="4" s="1"/>
  <c r="AM146" i="4"/>
  <c r="AN146" i="4" s="1"/>
  <c r="Z71" i="4"/>
  <c r="AF71" i="4" s="1"/>
  <c r="AG71" i="4" s="1"/>
  <c r="AI71" i="4" s="1"/>
  <c r="Z55" i="4"/>
  <c r="AF55" i="4" s="1"/>
  <c r="Z16" i="4"/>
  <c r="AF16" i="4" s="1"/>
  <c r="W7" i="4"/>
  <c r="AE7" i="4" s="1"/>
  <c r="W76" i="4"/>
  <c r="X76" i="4" s="1"/>
  <c r="AJ76" i="4" s="1"/>
  <c r="W127" i="4"/>
  <c r="X127" i="4" s="1"/>
  <c r="AJ127" i="4" s="1"/>
  <c r="Z49" i="4"/>
  <c r="AF49" i="4" s="1"/>
  <c r="AO49" i="4" s="1"/>
  <c r="AM52" i="4"/>
  <c r="AN52" i="4" s="1"/>
  <c r="W18" i="4"/>
  <c r="Y18" i="4" s="1"/>
  <c r="Z18" i="4" s="1"/>
  <c r="AF18" i="4" s="1"/>
  <c r="Z97" i="4"/>
  <c r="AF97" i="4" s="1"/>
  <c r="AO97" i="4" s="1"/>
  <c r="AM70" i="4"/>
  <c r="AN70" i="4" s="1"/>
  <c r="W35" i="4"/>
  <c r="X35" i="4" s="1"/>
  <c r="AJ35" i="4" s="1"/>
  <c r="AR535" i="5"/>
  <c r="AQ476" i="5"/>
  <c r="AR517" i="5"/>
  <c r="AR406" i="5"/>
  <c r="AR498" i="5"/>
  <c r="AQ104" i="5"/>
  <c r="AR330" i="5"/>
  <c r="AQ79" i="5"/>
  <c r="AQ184" i="5"/>
  <c r="AR384" i="5"/>
  <c r="AR426" i="5"/>
  <c r="AQ30" i="5"/>
  <c r="AR165" i="5"/>
  <c r="AR34" i="5"/>
  <c r="AQ318" i="5"/>
  <c r="AQ87" i="5"/>
  <c r="AR260" i="5"/>
  <c r="AQ23" i="5"/>
  <c r="AR551" i="5"/>
  <c r="AQ444" i="5"/>
  <c r="AQ530" i="5"/>
  <c r="AR321" i="5"/>
  <c r="AQ158" i="5"/>
  <c r="AR417" i="5"/>
  <c r="AQ302" i="5"/>
  <c r="AR70" i="5"/>
  <c r="AQ211" i="5"/>
  <c r="AN105" i="4"/>
  <c r="AC546" i="5"/>
  <c r="AD546" i="5" s="1"/>
  <c r="AC523" i="5"/>
  <c r="AE523" i="5" s="1"/>
  <c r="AC459" i="5"/>
  <c r="AE459" i="5" s="1"/>
  <c r="AC206" i="5"/>
  <c r="AS206" i="5" s="1"/>
  <c r="AL9" i="5"/>
  <c r="Z87" i="4"/>
  <c r="AF87" i="4" s="1"/>
  <c r="AO87" i="4" s="1"/>
  <c r="AC379" i="5"/>
  <c r="AE379" i="5" s="1"/>
  <c r="AC392" i="5"/>
  <c r="AS392" i="5" s="1"/>
  <c r="AC371" i="5"/>
  <c r="AE371" i="5" s="1"/>
  <c r="AC522" i="5"/>
  <c r="AD522" i="5" s="1"/>
  <c r="AC512" i="5"/>
  <c r="AD512" i="5" s="1"/>
  <c r="AC429" i="5"/>
  <c r="AS429" i="5" s="1"/>
  <c r="Z117" i="4"/>
  <c r="AF117" i="4" s="1"/>
  <c r="AC160" i="5"/>
  <c r="AS160" i="5" s="1"/>
  <c r="AB288" i="5"/>
  <c r="AC234" i="5"/>
  <c r="AD234" i="5" s="1"/>
  <c r="AC525" i="5"/>
  <c r="AE525" i="5" s="1"/>
  <c r="AC426" i="5"/>
  <c r="AD426" i="5" s="1"/>
  <c r="AC534" i="5"/>
  <c r="AD534" i="5" s="1"/>
  <c r="AC432" i="5"/>
  <c r="AS432" i="5" s="1"/>
  <c r="AC221" i="5"/>
  <c r="AS221" i="5" s="1"/>
  <c r="AC121" i="5"/>
  <c r="AS121" i="5" s="1"/>
  <c r="AC537" i="5"/>
  <c r="AE537" i="5" s="1"/>
  <c r="V11" i="5"/>
  <c r="AC80" i="5"/>
  <c r="AS80" i="5" s="1"/>
  <c r="AC23" i="5"/>
  <c r="AD23" i="5" s="1"/>
  <c r="AC530" i="5"/>
  <c r="AD530" i="5" s="1"/>
  <c r="AC289" i="5"/>
  <c r="AD289" i="5" s="1"/>
  <c r="AC264" i="5"/>
  <c r="AE264" i="5" s="1"/>
  <c r="AC446" i="5"/>
  <c r="AD446" i="5" s="1"/>
  <c r="AC117" i="5"/>
  <c r="AS117" i="5" s="1"/>
  <c r="AC97" i="5"/>
  <c r="AD97" i="5" s="1"/>
  <c r="AC105" i="5"/>
  <c r="AE105" i="5" s="1"/>
  <c r="B35" i="2"/>
  <c r="AC376" i="5"/>
  <c r="AD376" i="5" s="1"/>
  <c r="AC508" i="5"/>
  <c r="AE508" i="5" s="1"/>
  <c r="AC184" i="5"/>
  <c r="AD184" i="5" s="1"/>
  <c r="AQ77" i="5"/>
  <c r="AQ457" i="5"/>
  <c r="AR493" i="5"/>
  <c r="AR117" i="5"/>
  <c r="AQ22" i="5"/>
  <c r="AR422" i="5"/>
  <c r="AR20" i="5"/>
  <c r="AR284" i="5"/>
  <c r="AQ360" i="5"/>
  <c r="AR138" i="5"/>
  <c r="AR447" i="5"/>
  <c r="AQ37" i="5"/>
  <c r="AQ142" i="5"/>
  <c r="AQ229" i="5"/>
  <c r="AR233" i="5"/>
  <c r="AR258" i="5"/>
  <c r="AQ525" i="5"/>
  <c r="AQ239" i="5"/>
  <c r="AQ276" i="5"/>
  <c r="AQ42" i="5"/>
  <c r="AQ54" i="5"/>
  <c r="AR144" i="5"/>
  <c r="AR364" i="5"/>
  <c r="AQ219" i="5"/>
  <c r="AR463" i="5"/>
  <c r="K29" i="2"/>
  <c r="K30" i="2" s="1"/>
  <c r="AC463" i="5"/>
  <c r="AE463" i="5" s="1"/>
  <c r="AA445" i="5"/>
  <c r="W37" i="4"/>
  <c r="X37" i="4" s="1"/>
  <c r="AJ37" i="4" s="1"/>
  <c r="AR462" i="5"/>
  <c r="AQ21" i="5"/>
  <c r="AR448" i="5"/>
  <c r="AQ488" i="5"/>
  <c r="AR126" i="5"/>
  <c r="AR495" i="5"/>
  <c r="AR131" i="5"/>
  <c r="R31" i="2"/>
  <c r="S31" i="2" s="1"/>
  <c r="Q31" i="2"/>
  <c r="P31" i="2" s="1"/>
  <c r="AR378" i="5"/>
  <c r="AR255" i="5"/>
  <c r="AQ542" i="5"/>
  <c r="AR194" i="5"/>
  <c r="AQ190" i="5"/>
  <c r="AQ370" i="5"/>
  <c r="AN98" i="4"/>
  <c r="AQ257" i="5"/>
  <c r="AA97" i="5"/>
  <c r="AR368" i="5"/>
  <c r="AR45" i="5"/>
  <c r="AR232" i="5"/>
  <c r="AQ545" i="5"/>
  <c r="AR82" i="5"/>
  <c r="AR56" i="5"/>
  <c r="AM117" i="4"/>
  <c r="AN117" i="4" s="1"/>
  <c r="W46" i="4"/>
  <c r="Y46" i="4" s="1"/>
  <c r="Z46" i="4" s="1"/>
  <c r="AF46" i="4" s="1"/>
  <c r="AG46" i="4" s="1"/>
  <c r="AI46" i="4" s="1"/>
  <c r="W145" i="4"/>
  <c r="Y145" i="4" s="1"/>
  <c r="Z145" i="4" s="1"/>
  <c r="AF145" i="4" s="1"/>
  <c r="AA297" i="5"/>
  <c r="AB261" i="5"/>
  <c r="AA363" i="5"/>
  <c r="AC520" i="5"/>
  <c r="AS520" i="5" s="1"/>
  <c r="AC359" i="5"/>
  <c r="AD359" i="5" s="1"/>
  <c r="AB80" i="5"/>
  <c r="AC386" i="5"/>
  <c r="AS386" i="5" s="1"/>
  <c r="AA265" i="5"/>
  <c r="AB447" i="5"/>
  <c r="AB19" i="5"/>
  <c r="AB247" i="5"/>
  <c r="AB208" i="5"/>
  <c r="AB532" i="5"/>
  <c r="AB217" i="5"/>
  <c r="AA27" i="5"/>
  <c r="W20" i="4"/>
  <c r="X20" i="4" s="1"/>
  <c r="AJ20" i="4" s="1"/>
  <c r="AA7" i="5"/>
  <c r="AC265" i="5"/>
  <c r="AE265" i="5" s="1"/>
  <c r="AC540" i="5"/>
  <c r="AE540" i="5" s="1"/>
  <c r="AB529" i="5"/>
  <c r="AA540" i="5"/>
  <c r="AB560" i="5"/>
  <c r="AC470" i="5"/>
  <c r="AE470" i="5" s="1"/>
  <c r="AC460" i="5"/>
  <c r="AS460" i="5" s="1"/>
  <c r="AC138" i="5"/>
  <c r="AE138" i="5" s="1"/>
  <c r="AA550" i="5"/>
  <c r="AB293" i="5"/>
  <c r="AA551" i="5"/>
  <c r="Z115" i="4"/>
  <c r="AF115" i="4" s="1"/>
  <c r="AC31" i="5"/>
  <c r="AE31" i="5" s="1"/>
  <c r="AA26" i="5"/>
  <c r="AM16" i="4"/>
  <c r="AN16" i="4" s="1"/>
  <c r="AB301" i="5"/>
  <c r="AA283" i="5"/>
  <c r="AB254" i="5"/>
  <c r="AA116" i="5"/>
  <c r="AA405" i="5"/>
  <c r="AA142" i="5"/>
  <c r="AB150" i="5"/>
  <c r="AJ157" i="4"/>
  <c r="AM128" i="4"/>
  <c r="AN128" i="4" s="1"/>
  <c r="Z43" i="4"/>
  <c r="AF43" i="4" s="1"/>
  <c r="AO43" i="4" s="1"/>
  <c r="AB169" i="5"/>
  <c r="AB379" i="5"/>
  <c r="AB42" i="5"/>
  <c r="AB196" i="5"/>
  <c r="AB403" i="5"/>
  <c r="AB487" i="5"/>
  <c r="AB189" i="5"/>
  <c r="AA36" i="5"/>
  <c r="AA502" i="5"/>
  <c r="AB537" i="5"/>
  <c r="AA514" i="5"/>
  <c r="AB121" i="5"/>
  <c r="AB151" i="5"/>
  <c r="AA106" i="5"/>
  <c r="AA48" i="5"/>
  <c r="AA53" i="5"/>
  <c r="AM134" i="4"/>
  <c r="AN134" i="4" s="1"/>
  <c r="AA523" i="5"/>
  <c r="AB335" i="5"/>
  <c r="AB390" i="5"/>
  <c r="AA63" i="5"/>
  <c r="AB93" i="5"/>
  <c r="W61" i="4"/>
  <c r="Y61" i="4" s="1"/>
  <c r="Z61" i="4" s="1"/>
  <c r="AF61" i="4" s="1"/>
  <c r="AG61" i="4" s="1"/>
  <c r="AI61" i="4" s="1"/>
  <c r="AB262" i="5"/>
  <c r="AA90" i="5"/>
  <c r="AC277" i="5"/>
  <c r="AE277" i="5" s="1"/>
  <c r="AC306" i="5"/>
  <c r="AE306" i="5" s="1"/>
  <c r="AC38" i="5"/>
  <c r="AS38" i="5" s="1"/>
  <c r="AA263" i="5"/>
  <c r="AB235" i="5"/>
  <c r="AA343" i="5"/>
  <c r="AM56" i="4"/>
  <c r="AN56" i="4" s="1"/>
  <c r="AB331" i="5"/>
  <c r="W15" i="4"/>
  <c r="Y15" i="4" s="1"/>
  <c r="Z15" i="4" s="1"/>
  <c r="AF15" i="4" s="1"/>
  <c r="AA256" i="5"/>
  <c r="AB498" i="5"/>
  <c r="AB298" i="5"/>
  <c r="AC208" i="5"/>
  <c r="AS208" i="5" s="1"/>
  <c r="AC365" i="5"/>
  <c r="AS365" i="5" s="1"/>
  <c r="AC280" i="5"/>
  <c r="AS280" i="5" s="1"/>
  <c r="AC353" i="5"/>
  <c r="AE353" i="5" s="1"/>
  <c r="AC213" i="5"/>
  <c r="AD213" i="5" s="1"/>
  <c r="AC194" i="5"/>
  <c r="AE194" i="5" s="1"/>
  <c r="AA289" i="5"/>
  <c r="AA462" i="5"/>
  <c r="AB202" i="5"/>
  <c r="AA213" i="5"/>
  <c r="AC42" i="5"/>
  <c r="AD42" i="5" s="1"/>
  <c r="AC216" i="5"/>
  <c r="AS216" i="5" s="1"/>
  <c r="AC325" i="5"/>
  <c r="AE325" i="5" s="1"/>
  <c r="AB179" i="5"/>
  <c r="AA495" i="5"/>
  <c r="AC417" i="5"/>
  <c r="AS417" i="5" s="1"/>
  <c r="AC451" i="5"/>
  <c r="AE451" i="5" s="1"/>
  <c r="AC332" i="5"/>
  <c r="AS332" i="5" s="1"/>
  <c r="AB356" i="5"/>
  <c r="AB371" i="5"/>
  <c r="AB359" i="5"/>
  <c r="AB522" i="5"/>
  <c r="AB161" i="5"/>
  <c r="AB309" i="5"/>
  <c r="AA424" i="5"/>
  <c r="AA244" i="5"/>
  <c r="AC361" i="5"/>
  <c r="AE361" i="5" s="1"/>
  <c r="AC425" i="5"/>
  <c r="AD425" i="5" s="1"/>
  <c r="AC297" i="5"/>
  <c r="AD297" i="5" s="1"/>
  <c r="AC333" i="5"/>
  <c r="AS333" i="5" s="1"/>
  <c r="AC244" i="5"/>
  <c r="AE244" i="5" s="1"/>
  <c r="AC532" i="5"/>
  <c r="AD532" i="5" s="1"/>
  <c r="AC552" i="5"/>
  <c r="AD552" i="5" s="1"/>
  <c r="AC294" i="5"/>
  <c r="AS294" i="5" s="1"/>
  <c r="AA442" i="5"/>
  <c r="AA194" i="5"/>
  <c r="AA428" i="5"/>
  <c r="AA333" i="5"/>
  <c r="AC76" i="5"/>
  <c r="AD76" i="5" s="1"/>
  <c r="AC500" i="5"/>
  <c r="AS500" i="5" s="1"/>
  <c r="AC298" i="5"/>
  <c r="AS298" i="5" s="1"/>
  <c r="AC197" i="5"/>
  <c r="AE197" i="5" s="1"/>
  <c r="AC261" i="5"/>
  <c r="AS261" i="5" s="1"/>
  <c r="AA494" i="5"/>
  <c r="AA251" i="5"/>
  <c r="AB25" i="5"/>
  <c r="AB417" i="5"/>
  <c r="AC483" i="5"/>
  <c r="AD483" i="5" s="1"/>
  <c r="AC517" i="5"/>
  <c r="AD517" i="5" s="1"/>
  <c r="AC148" i="5"/>
  <c r="AD148" i="5" s="1"/>
  <c r="AC363" i="5"/>
  <c r="AE363" i="5" s="1"/>
  <c r="AC462" i="5"/>
  <c r="AD462" i="5" s="1"/>
  <c r="AC46" i="5"/>
  <c r="AE46" i="5" s="1"/>
  <c r="AC54" i="5"/>
  <c r="AS54" i="5" s="1"/>
  <c r="AU54" i="5" s="1"/>
  <c r="AC356" i="5"/>
  <c r="AS356" i="5" s="1"/>
  <c r="AC279" i="5"/>
  <c r="AS279" i="5" s="1"/>
  <c r="AC25" i="5"/>
  <c r="AD25" i="5" s="1"/>
  <c r="AB332" i="5"/>
  <c r="AA276" i="5"/>
  <c r="AC495" i="5"/>
  <c r="AS495" i="5" s="1"/>
  <c r="AC309" i="5"/>
  <c r="AD309" i="5" s="1"/>
  <c r="AC494" i="5"/>
  <c r="AD494" i="5" s="1"/>
  <c r="AC314" i="5"/>
  <c r="AD314" i="5" s="1"/>
  <c r="AC422" i="5"/>
  <c r="AS422" i="5" s="1"/>
  <c r="AC202" i="5"/>
  <c r="AS202" i="5" s="1"/>
  <c r="AU202" i="5" s="1"/>
  <c r="AC518" i="5"/>
  <c r="AE518" i="5" s="1"/>
  <c r="AC248" i="5"/>
  <c r="AD248" i="5" s="1"/>
  <c r="AB469" i="5"/>
  <c r="AA221" i="5"/>
  <c r="AB421" i="5"/>
  <c r="AB327" i="5"/>
  <c r="AA475" i="5"/>
  <c r="AB220" i="5"/>
  <c r="AB463" i="5"/>
  <c r="AC478" i="5"/>
  <c r="AE478" i="5" s="1"/>
  <c r="AC366" i="5"/>
  <c r="AE366" i="5" s="1"/>
  <c r="AC327" i="5"/>
  <c r="AE327" i="5" s="1"/>
  <c r="AM43" i="4"/>
  <c r="AN43" i="4" s="1"/>
  <c r="AC180" i="5"/>
  <c r="AS180" i="5" s="1"/>
  <c r="AA149" i="5"/>
  <c r="AB426" i="5"/>
  <c r="AB274" i="5"/>
  <c r="W142" i="4"/>
  <c r="Y142" i="4" s="1"/>
  <c r="Z142" i="4" s="1"/>
  <c r="AB366" i="5"/>
  <c r="AA304" i="5"/>
  <c r="AB94" i="5"/>
  <c r="W57" i="4"/>
  <c r="Y57" i="4" s="1"/>
  <c r="Z57" i="4" s="1"/>
  <c r="AF57" i="4" s="1"/>
  <c r="AC469" i="5"/>
  <c r="AE469" i="5" s="1"/>
  <c r="AC241" i="5"/>
  <c r="AS241" i="5" s="1"/>
  <c r="AC142" i="5"/>
  <c r="AS142" i="5" s="1"/>
  <c r="AC237" i="5"/>
  <c r="AS237" i="5" s="1"/>
  <c r="AC283" i="5"/>
  <c r="AE283" i="5" s="1"/>
  <c r="AC304" i="5"/>
  <c r="AS304" i="5" s="1"/>
  <c r="AC477" i="5"/>
  <c r="AD477" i="5" s="1"/>
  <c r="AB416" i="5"/>
  <c r="AA539" i="5"/>
  <c r="AC267" i="5"/>
  <c r="AE267" i="5" s="1"/>
  <c r="AC220" i="5"/>
  <c r="AD220" i="5" s="1"/>
  <c r="AC482" i="5"/>
  <c r="AS482" i="5" s="1"/>
  <c r="AC122" i="5"/>
  <c r="AD122" i="5" s="1"/>
  <c r="AC22" i="5"/>
  <c r="AD22" i="5" s="1"/>
  <c r="AB133" i="5"/>
  <c r="AA59" i="5"/>
  <c r="AB429" i="5"/>
  <c r="AC341" i="5"/>
  <c r="AS341" i="5" s="1"/>
  <c r="AC101" i="5"/>
  <c r="AS101" i="5" s="1"/>
  <c r="AC374" i="5"/>
  <c r="AE374" i="5" s="1"/>
  <c r="AC165" i="5"/>
  <c r="AS165" i="5" s="1"/>
  <c r="AC504" i="5"/>
  <c r="AE504" i="5" s="1"/>
  <c r="AB351" i="5"/>
  <c r="AC405" i="5"/>
  <c r="AD405" i="5" s="1"/>
  <c r="AC26" i="5"/>
  <c r="AE26" i="5" s="1"/>
  <c r="AC416" i="5"/>
  <c r="AD416" i="5" s="1"/>
  <c r="AC150" i="5"/>
  <c r="AE150" i="5" s="1"/>
  <c r="AA241" i="5"/>
  <c r="AC351" i="5"/>
  <c r="AD351" i="5" s="1"/>
  <c r="AC551" i="5"/>
  <c r="AD551" i="5" s="1"/>
  <c r="AC94" i="5"/>
  <c r="AE94" i="5" s="1"/>
  <c r="AC476" i="5"/>
  <c r="AD476" i="5" s="1"/>
  <c r="AC254" i="5"/>
  <c r="AS254" i="5" s="1"/>
  <c r="AC133" i="5"/>
  <c r="AS133" i="5" s="1"/>
  <c r="AC274" i="5"/>
  <c r="AS274" i="5" s="1"/>
  <c r="AC301" i="5"/>
  <c r="AE301" i="5" s="1"/>
  <c r="AC421" i="5"/>
  <c r="AE421" i="5" s="1"/>
  <c r="AC116" i="5"/>
  <c r="AE116" i="5" s="1"/>
  <c r="AC475" i="5"/>
  <c r="AE475" i="5" s="1"/>
  <c r="AC438" i="5"/>
  <c r="AE438" i="5" s="1"/>
  <c r="AA260" i="5"/>
  <c r="AB546" i="5"/>
  <c r="AB545" i="5"/>
  <c r="AC222" i="5"/>
  <c r="AD222" i="5" s="1"/>
  <c r="AC434" i="5"/>
  <c r="AS434" i="5" s="1"/>
  <c r="AC158" i="5"/>
  <c r="AE158" i="5" s="1"/>
  <c r="AC360" i="5"/>
  <c r="AE360" i="5" s="1"/>
  <c r="AC496" i="5"/>
  <c r="AD496" i="5" s="1"/>
  <c r="AC232" i="5"/>
  <c r="AS232" i="5" s="1"/>
  <c r="AA222" i="5"/>
  <c r="AB132" i="5"/>
  <c r="AB360" i="5"/>
  <c r="AA137" i="5"/>
  <c r="AB368" i="5"/>
  <c r="AB174" i="5"/>
  <c r="AC50" i="5"/>
  <c r="AE50" i="5" s="1"/>
  <c r="AC200" i="5"/>
  <c r="AD200" i="5" s="1"/>
  <c r="AC132" i="5"/>
  <c r="AE132" i="5" s="1"/>
  <c r="AB278" i="5"/>
  <c r="AC59" i="5"/>
  <c r="AS59" i="5" s="1"/>
  <c r="AA376" i="5"/>
  <c r="AB31" i="5"/>
  <c r="AA499" i="5"/>
  <c r="W125" i="4"/>
  <c r="Y125" i="4" s="1"/>
  <c r="Z125" i="4" s="1"/>
  <c r="W14" i="4"/>
  <c r="Y14" i="4" s="1"/>
  <c r="Z14" i="4" s="1"/>
  <c r="AC174" i="5"/>
  <c r="AE174" i="5" s="1"/>
  <c r="AC238" i="5"/>
  <c r="AE238" i="5" s="1"/>
  <c r="AC137" i="5"/>
  <c r="AD137" i="5" s="1"/>
  <c r="AC114" i="5"/>
  <c r="AE114" i="5" s="1"/>
  <c r="AC354" i="5"/>
  <c r="AD354" i="5" s="1"/>
  <c r="AC168" i="5"/>
  <c r="AE168" i="5" s="1"/>
  <c r="AA168" i="5"/>
  <c r="AA50" i="5"/>
  <c r="AA114" i="5"/>
  <c r="AA438" i="5"/>
  <c r="AC58" i="5"/>
  <c r="AD58" i="5" s="1"/>
  <c r="AC120" i="5"/>
  <c r="AD120" i="5" s="1"/>
  <c r="AC140" i="5"/>
  <c r="AD140" i="5" s="1"/>
  <c r="AA543" i="5"/>
  <c r="AB354" i="5"/>
  <c r="AA160" i="5"/>
  <c r="AB452" i="5"/>
  <c r="AB259" i="5"/>
  <c r="AA140" i="5"/>
  <c r="AC278" i="5"/>
  <c r="AS278" i="5" s="1"/>
  <c r="AU278" i="5" s="1"/>
  <c r="AC556" i="5"/>
  <c r="AE556" i="5" s="1"/>
  <c r="AC259" i="5"/>
  <c r="AE259" i="5" s="1"/>
  <c r="AC295" i="5"/>
  <c r="AE295" i="5" s="1"/>
  <c r="AC479" i="5"/>
  <c r="AS479" i="5" s="1"/>
  <c r="AC68" i="5"/>
  <c r="AD68" i="5" s="1"/>
  <c r="AC262" i="5"/>
  <c r="AS262" i="5" s="1"/>
  <c r="AC21" i="5"/>
  <c r="AE21" i="5" s="1"/>
  <c r="AC260" i="5"/>
  <c r="AS260" i="5" s="1"/>
  <c r="AC511" i="5"/>
  <c r="AE511" i="5" s="1"/>
  <c r="AC65" i="5"/>
  <c r="AD65" i="5" s="1"/>
  <c r="AC343" i="5"/>
  <c r="AS343" i="5" s="1"/>
  <c r="AC243" i="5"/>
  <c r="AD243" i="5" s="1"/>
  <c r="AC73" i="5"/>
  <c r="AE73" i="5" s="1"/>
  <c r="AC502" i="5"/>
  <c r="AD502" i="5" s="1"/>
  <c r="AC543" i="5"/>
  <c r="AS543" i="5" s="1"/>
  <c r="AC440" i="5"/>
  <c r="AE440" i="5" s="1"/>
  <c r="AC452" i="5"/>
  <c r="AE452" i="5" s="1"/>
  <c r="AC499" i="5"/>
  <c r="AS499" i="5" s="1"/>
  <c r="AC36" i="5"/>
  <c r="AD36" i="5" s="1"/>
  <c r="AB49" i="5"/>
  <c r="AC155" i="5"/>
  <c r="AE155" i="5" s="1"/>
  <c r="AC217" i="5"/>
  <c r="AE217" i="5" s="1"/>
  <c r="AC188" i="5"/>
  <c r="AD188" i="5" s="1"/>
  <c r="AC390" i="5"/>
  <c r="AD390" i="5" s="1"/>
  <c r="AC226" i="5"/>
  <c r="AE226" i="5" s="1"/>
  <c r="AC173" i="5"/>
  <c r="AS173" i="5" s="1"/>
  <c r="AC106" i="5"/>
  <c r="AD106" i="5" s="1"/>
  <c r="AC514" i="5"/>
  <c r="AE514" i="5" s="1"/>
  <c r="AC27" i="5"/>
  <c r="AE27" i="5" s="1"/>
  <c r="AC40" i="5"/>
  <c r="AS40" i="5" s="1"/>
  <c r="AC223" i="5"/>
  <c r="AS223" i="5" s="1"/>
  <c r="AC181" i="5"/>
  <c r="AS181" i="5" s="1"/>
  <c r="AC151" i="5"/>
  <c r="AS151" i="5" s="1"/>
  <c r="AC399" i="5"/>
  <c r="AS399" i="5" s="1"/>
  <c r="AC310" i="5"/>
  <c r="AE310" i="5" s="1"/>
  <c r="AC345" i="5"/>
  <c r="AE345" i="5" s="1"/>
  <c r="AC505" i="5"/>
  <c r="AD505" i="5" s="1"/>
  <c r="AA223" i="5"/>
  <c r="AA188" i="5"/>
  <c r="AB431" i="5"/>
  <c r="AB181" i="5"/>
  <c r="AA275" i="5"/>
  <c r="AC127" i="5"/>
  <c r="AS127" i="5" s="1"/>
  <c r="AU127" i="5" s="1"/>
  <c r="AC136" i="5"/>
  <c r="AS136" i="5" s="1"/>
  <c r="AC126" i="5"/>
  <c r="AE126" i="5" s="1"/>
  <c r="AC544" i="5"/>
  <c r="AS544" i="5" s="1"/>
  <c r="AC48" i="5"/>
  <c r="AE48" i="5" s="1"/>
  <c r="AC275" i="5"/>
  <c r="AS275" i="5" s="1"/>
  <c r="AC112" i="5"/>
  <c r="AS112" i="5" s="1"/>
  <c r="AC473" i="5"/>
  <c r="AD473" i="5" s="1"/>
  <c r="AC143" i="5"/>
  <c r="AD143" i="5" s="1"/>
  <c r="AC104" i="5"/>
  <c r="AE104" i="5" s="1"/>
  <c r="AA544" i="5"/>
  <c r="AA119" i="5"/>
  <c r="AB166" i="5"/>
  <c r="AC335" i="5"/>
  <c r="AE335" i="5" s="1"/>
  <c r="AC245" i="5"/>
  <c r="AE245" i="5" s="1"/>
  <c r="AC214" i="5"/>
  <c r="AD214" i="5" s="1"/>
  <c r="AC342" i="5"/>
  <c r="AS342" i="5" s="1"/>
  <c r="AB226" i="5"/>
  <c r="AB112" i="5"/>
  <c r="AB430" i="5"/>
  <c r="AC349" i="5"/>
  <c r="AD349" i="5" s="1"/>
  <c r="AC383" i="5"/>
  <c r="AE383" i="5" s="1"/>
  <c r="AC466" i="5"/>
  <c r="AE466" i="5" s="1"/>
  <c r="AC119" i="5"/>
  <c r="AE119" i="5" s="1"/>
  <c r="AC12" i="5"/>
  <c r="AD12" i="5" s="1"/>
  <c r="AB103" i="5"/>
  <c r="AC350" i="5"/>
  <c r="AE350" i="5" s="1"/>
  <c r="AC24" i="5"/>
  <c r="AD24" i="5" s="1"/>
  <c r="AC378" i="5"/>
  <c r="AD378" i="5" s="1"/>
  <c r="AC492" i="5"/>
  <c r="AE492" i="5" s="1"/>
  <c r="AC210" i="5"/>
  <c r="AD210" i="5" s="1"/>
  <c r="AA303" i="5"/>
  <c r="AB91" i="5"/>
  <c r="W66" i="4"/>
  <c r="Y66" i="4" s="1"/>
  <c r="Z66" i="4" s="1"/>
  <c r="AC111" i="5"/>
  <c r="AD111" i="5" s="1"/>
  <c r="AC239" i="5"/>
  <c r="AE239" i="5" s="1"/>
  <c r="AC32" i="5"/>
  <c r="AE32" i="5" s="1"/>
  <c r="AA64" i="5"/>
  <c r="AA387" i="5"/>
  <c r="AC55" i="5"/>
  <c r="AE55" i="5" s="1"/>
  <c r="AC77" i="5"/>
  <c r="AE77" i="5" s="1"/>
  <c r="AC113" i="5"/>
  <c r="AD113" i="5" s="1"/>
  <c r="AC369" i="5"/>
  <c r="AE369" i="5" s="1"/>
  <c r="AA404" i="5"/>
  <c r="AB86" i="5"/>
  <c r="AA55" i="5"/>
  <c r="AB203" i="5"/>
  <c r="AC269" i="5"/>
  <c r="AS269" i="5" s="1"/>
  <c r="AC468" i="5"/>
  <c r="AD468" i="5" s="1"/>
  <c r="AB436" i="5"/>
  <c r="AA32" i="5"/>
  <c r="AA111" i="5"/>
  <c r="AC303" i="5"/>
  <c r="AS303" i="5" s="1"/>
  <c r="AC49" i="5"/>
  <c r="AD49" i="5" s="1"/>
  <c r="AC103" i="5"/>
  <c r="AD103" i="5" s="1"/>
  <c r="AC404" i="5"/>
  <c r="AD404" i="5" s="1"/>
  <c r="AA321" i="5"/>
  <c r="AC166" i="5"/>
  <c r="AD166" i="5" s="1"/>
  <c r="AB105" i="5"/>
  <c r="AA296" i="5"/>
  <c r="AA175" i="5"/>
  <c r="AC441" i="5"/>
  <c r="AE441" i="5" s="1"/>
  <c r="AC62" i="5"/>
  <c r="AD62" i="5" s="1"/>
  <c r="AC536" i="5"/>
  <c r="AS536" i="5" s="1"/>
  <c r="AC83" i="5"/>
  <c r="AS83" i="5" s="1"/>
  <c r="AC75" i="5"/>
  <c r="AD75" i="5" s="1"/>
  <c r="AC385" i="5"/>
  <c r="AE385" i="5" s="1"/>
  <c r="AA375" i="5"/>
  <c r="AA329" i="5"/>
  <c r="AA336" i="5"/>
  <c r="AA402" i="5"/>
  <c r="AB401" i="5"/>
  <c r="AA441" i="5"/>
  <c r="AB525" i="5"/>
  <c r="AC515" i="5"/>
  <c r="AS515" i="5" s="1"/>
  <c r="AC189" i="5"/>
  <c r="AS189" i="5" s="1"/>
  <c r="AC313" i="5"/>
  <c r="AD313" i="5" s="1"/>
  <c r="AC203" i="5"/>
  <c r="AS203" i="5" s="1"/>
  <c r="AC472" i="5"/>
  <c r="AE472" i="5" s="1"/>
  <c r="AC186" i="5"/>
  <c r="AD186" i="5" s="1"/>
  <c r="AC134" i="5"/>
  <c r="AE134" i="5" s="1"/>
  <c r="AB396" i="5"/>
  <c r="AA236" i="5"/>
  <c r="AA313" i="5"/>
  <c r="AA205" i="5"/>
  <c r="AB472" i="5"/>
  <c r="AB453" i="5"/>
  <c r="AC403" i="5"/>
  <c r="AD403" i="5" s="1"/>
  <c r="AC541" i="5"/>
  <c r="AD541" i="5" s="1"/>
  <c r="AC300" i="5"/>
  <c r="AD300" i="5" s="1"/>
  <c r="AC34" i="5"/>
  <c r="AS34" i="5" s="1"/>
  <c r="AC44" i="5"/>
  <c r="AD44" i="5" s="1"/>
  <c r="AA62" i="5"/>
  <c r="AA392" i="5"/>
  <c r="AC401" i="5"/>
  <c r="AE401" i="5" s="1"/>
  <c r="AC229" i="5"/>
  <c r="AD229" i="5" s="1"/>
  <c r="AC427" i="5"/>
  <c r="AS427" i="5" s="1"/>
  <c r="AB456" i="5"/>
  <c r="AB171" i="5"/>
  <c r="Y73" i="4"/>
  <c r="Z73" i="4" s="1"/>
  <c r="AA73" i="4" s="1"/>
  <c r="AC73" i="4" s="1"/>
  <c r="AD73" i="4" s="1"/>
  <c r="AC455" i="5"/>
  <c r="AD455" i="5" s="1"/>
  <c r="AC456" i="5"/>
  <c r="AS456" i="5" s="1"/>
  <c r="AC205" i="5"/>
  <c r="AD205" i="5" s="1"/>
  <c r="AC218" i="5"/>
  <c r="AE218" i="5" s="1"/>
  <c r="AC395" i="5"/>
  <c r="AS395" i="5" s="1"/>
  <c r="AC128" i="5"/>
  <c r="AD128" i="5" s="1"/>
  <c r="AC375" i="5"/>
  <c r="AD375" i="5" s="1"/>
  <c r="AE73" i="4"/>
  <c r="AA455" i="5"/>
  <c r="AA60" i="5"/>
  <c r="AB8" i="5"/>
  <c r="AA382" i="5"/>
  <c r="AC329" i="5"/>
  <c r="AS329" i="5" s="1"/>
  <c r="AC302" i="5"/>
  <c r="AE302" i="5" s="1"/>
  <c r="AC171" i="5"/>
  <c r="AS171" i="5" s="1"/>
  <c r="AC450" i="5"/>
  <c r="AS450" i="5" s="1"/>
  <c r="AC336" i="5"/>
  <c r="AD336" i="5" s="1"/>
  <c r="AC60" i="5"/>
  <c r="AD60" i="5" s="1"/>
  <c r="AC381" i="5"/>
  <c r="AS381" i="5" s="1"/>
  <c r="AC236" i="5"/>
  <c r="AE236" i="5" s="1"/>
  <c r="AC402" i="5"/>
  <c r="AD402" i="5" s="1"/>
  <c r="AC145" i="5"/>
  <c r="AD145" i="5" s="1"/>
  <c r="AC433" i="5"/>
  <c r="AS433" i="5" s="1"/>
  <c r="AC453" i="5"/>
  <c r="AE453" i="5" s="1"/>
  <c r="AC382" i="5"/>
  <c r="AD382" i="5" s="1"/>
  <c r="W135" i="4"/>
  <c r="Y135" i="4" s="1"/>
  <c r="Z135" i="4" s="1"/>
  <c r="AN11" i="5"/>
  <c r="AC125" i="5"/>
  <c r="AS125" i="5" s="1"/>
  <c r="AC513" i="5"/>
  <c r="AE513" i="5" s="1"/>
  <c r="AC377" i="5"/>
  <c r="AD377" i="5" s="1"/>
  <c r="AC29" i="5"/>
  <c r="AE29" i="5" s="1"/>
  <c r="AC129" i="5"/>
  <c r="AD129" i="5" s="1"/>
  <c r="AC69" i="5"/>
  <c r="AS69" i="5" s="1"/>
  <c r="AC193" i="5"/>
  <c r="AE193" i="5" s="1"/>
  <c r="AC486" i="5"/>
  <c r="AE486" i="5" s="1"/>
  <c r="AC398" i="5"/>
  <c r="AE398" i="5" s="1"/>
  <c r="AA294" i="5"/>
  <c r="AA69" i="5"/>
  <c r="AA486" i="5"/>
  <c r="AA70" i="5"/>
  <c r="AA548" i="5"/>
  <c r="AC70" i="5"/>
  <c r="AS70" i="5" s="1"/>
  <c r="AC251" i="5"/>
  <c r="AS251" i="5" s="1"/>
  <c r="AC228" i="5"/>
  <c r="AE228" i="5" s="1"/>
  <c r="AC285" i="5"/>
  <c r="AD285" i="5" s="1"/>
  <c r="AC110" i="5"/>
  <c r="AE110" i="5" s="1"/>
  <c r="AC43" i="5"/>
  <c r="AS43" i="5" s="1"/>
  <c r="AB400" i="5"/>
  <c r="AB533" i="5"/>
  <c r="AB513" i="5"/>
  <c r="AB509" i="5"/>
  <c r="AB228" i="5"/>
  <c r="AA29" i="5"/>
  <c r="AM33" i="4"/>
  <c r="AN33" i="4" s="1"/>
  <c r="AC179" i="5"/>
  <c r="AE179" i="5" s="1"/>
  <c r="AC394" i="5"/>
  <c r="AD394" i="5" s="1"/>
  <c r="AC481" i="5"/>
  <c r="AS481" i="5" s="1"/>
  <c r="AC533" i="5"/>
  <c r="AD533" i="5" s="1"/>
  <c r="AC424" i="5"/>
  <c r="AS424" i="5" s="1"/>
  <c r="AC268" i="5"/>
  <c r="AS268" i="5" s="1"/>
  <c r="AC270" i="5"/>
  <c r="AE270" i="5" s="1"/>
  <c r="AB255" i="5"/>
  <c r="AA129" i="5"/>
  <c r="AA394" i="5"/>
  <c r="AB270" i="5"/>
  <c r="AB425" i="5"/>
  <c r="AB491" i="5"/>
  <c r="AH18" i="4"/>
  <c r="AC444" i="5"/>
  <c r="AE444" i="5" s="1"/>
  <c r="AC555" i="5"/>
  <c r="AD555" i="5" s="1"/>
  <c r="AC338" i="5"/>
  <c r="AS338" i="5" s="1"/>
  <c r="AC163" i="5"/>
  <c r="AD163" i="5" s="1"/>
  <c r="AB163" i="5"/>
  <c r="AA157" i="5"/>
  <c r="AC99" i="5"/>
  <c r="AD99" i="5" s="1"/>
  <c r="AC255" i="5"/>
  <c r="AE255" i="5" s="1"/>
  <c r="AC553" i="5"/>
  <c r="AS553" i="5" s="1"/>
  <c r="AC388" i="5"/>
  <c r="AE388" i="5" s="1"/>
  <c r="AC247" i="5"/>
  <c r="AD247" i="5" s="1"/>
  <c r="AC93" i="5"/>
  <c r="AE93" i="5" s="1"/>
  <c r="W12" i="4"/>
  <c r="AE12" i="4" s="1"/>
  <c r="AC509" i="5"/>
  <c r="AD509" i="5" s="1"/>
  <c r="AC157" i="5"/>
  <c r="AD157" i="5" s="1"/>
  <c r="AC90" i="5"/>
  <c r="AE90" i="5" s="1"/>
  <c r="AC153" i="5"/>
  <c r="AD153" i="5" s="1"/>
  <c r="AC35" i="5"/>
  <c r="AD35" i="5" s="1"/>
  <c r="AC548" i="5"/>
  <c r="AE548" i="5" s="1"/>
  <c r="AC53" i="5"/>
  <c r="AE53" i="5" s="1"/>
  <c r="AA43" i="5"/>
  <c r="AA125" i="5"/>
  <c r="AC257" i="5"/>
  <c r="AS257" i="5" s="1"/>
  <c r="AT257" i="5" s="1"/>
  <c r="AC331" i="5"/>
  <c r="AS331" i="5" s="1"/>
  <c r="AC178" i="5"/>
  <c r="AD178" i="5" s="1"/>
  <c r="AC498" i="5"/>
  <c r="AS498" i="5" s="1"/>
  <c r="AC491" i="5"/>
  <c r="AS491" i="5" s="1"/>
  <c r="AC362" i="5"/>
  <c r="AS362" i="5" s="1"/>
  <c r="AC400" i="5"/>
  <c r="AE400" i="5" s="1"/>
  <c r="AC67" i="5"/>
  <c r="AE67" i="5" s="1"/>
  <c r="AC33" i="5"/>
  <c r="AS33" i="5" s="1"/>
  <c r="AC428" i="5"/>
  <c r="AE428" i="5" s="1"/>
  <c r="AC263" i="5"/>
  <c r="AD263" i="5" s="1"/>
  <c r="AB380" i="5"/>
  <c r="AA501" i="5"/>
  <c r="AB471" i="5"/>
  <c r="AB320" i="5"/>
  <c r="AA306" i="5"/>
  <c r="AC141" i="5"/>
  <c r="AD141" i="5" s="1"/>
  <c r="AC198" i="5"/>
  <c r="AD198" i="5" s="1"/>
  <c r="AC183" i="5"/>
  <c r="AS183" i="5" s="1"/>
  <c r="AC465" i="5"/>
  <c r="AS465" i="5" s="1"/>
  <c r="AA118" i="5"/>
  <c r="AB209" i="5"/>
  <c r="AA435" i="5"/>
  <c r="AC82" i="5"/>
  <c r="AE82" i="5" s="1"/>
  <c r="AC253" i="5"/>
  <c r="AS253" i="5" s="1"/>
  <c r="AC380" i="5"/>
  <c r="AS380" i="5" s="1"/>
  <c r="AC291" i="5"/>
  <c r="AE291" i="5" s="1"/>
  <c r="AC209" i="5"/>
  <c r="AD209" i="5" s="1"/>
  <c r="AC293" i="5"/>
  <c r="AE293" i="5" s="1"/>
  <c r="AC560" i="5"/>
  <c r="AE560" i="5" s="1"/>
  <c r="AC384" i="5"/>
  <c r="AD384" i="5" s="1"/>
  <c r="AC175" i="5"/>
  <c r="AS175" i="5" s="1"/>
  <c r="AT175" i="5" s="1"/>
  <c r="AC296" i="5"/>
  <c r="AS296" i="5" s="1"/>
  <c r="AC318" i="5"/>
  <c r="AD318" i="5" s="1"/>
  <c r="AC413" i="5"/>
  <c r="AS413" i="5" s="1"/>
  <c r="AB348" i="5"/>
  <c r="AA108" i="5"/>
  <c r="AC199" i="5"/>
  <c r="AD199" i="5" s="1"/>
  <c r="AA100" i="5"/>
  <c r="AC7" i="5"/>
  <c r="AS7" i="5" s="1"/>
  <c r="AC147" i="5"/>
  <c r="AS147" i="5" s="1"/>
  <c r="AU147" i="5" s="1"/>
  <c r="AC471" i="5"/>
  <c r="AS471" i="5" s="1"/>
  <c r="AC348" i="5"/>
  <c r="AS348" i="5" s="1"/>
  <c r="AC339" i="5"/>
  <c r="AS339" i="5" s="1"/>
  <c r="AC19" i="5"/>
  <c r="AD19" i="5" s="1"/>
  <c r="AC219" i="5"/>
  <c r="AE219" i="5" s="1"/>
  <c r="AC501" i="5"/>
  <c r="AD501" i="5" s="1"/>
  <c r="AC316" i="5"/>
  <c r="AE316" i="5" s="1"/>
  <c r="AB291" i="5"/>
  <c r="AA231" i="5"/>
  <c r="AB460" i="5"/>
  <c r="AA82" i="5"/>
  <c r="AA199" i="5"/>
  <c r="AB521" i="5"/>
  <c r="AA470" i="5"/>
  <c r="AC437" i="5"/>
  <c r="AD437" i="5" s="1"/>
  <c r="AC108" i="5"/>
  <c r="AD108" i="5" s="1"/>
  <c r="AC308" i="5"/>
  <c r="AD308" i="5" s="1"/>
  <c r="AC406" i="5"/>
  <c r="AD406" i="5" s="1"/>
  <c r="AC447" i="5"/>
  <c r="AD447" i="5" s="1"/>
  <c r="AC344" i="5"/>
  <c r="AD344" i="5" s="1"/>
  <c r="AC231" i="5"/>
  <c r="AD231" i="5" s="1"/>
  <c r="AC78" i="5"/>
  <c r="AS78" i="5" s="1"/>
  <c r="AT78" i="5" s="1"/>
  <c r="AB92" i="5"/>
  <c r="AC529" i="5"/>
  <c r="AE529" i="5" s="1"/>
  <c r="AC521" i="5"/>
  <c r="AS521" i="5" s="1"/>
  <c r="AC320" i="5"/>
  <c r="AE320" i="5" s="1"/>
  <c r="AC411" i="5"/>
  <c r="AE411" i="5" s="1"/>
  <c r="AC115" i="5"/>
  <c r="AD115" i="5" s="1"/>
  <c r="AM115" i="4"/>
  <c r="AN115" i="4" s="1"/>
  <c r="AM26" i="4"/>
  <c r="AN26" i="4" s="1"/>
  <c r="W26" i="4"/>
  <c r="AA409" i="5"/>
  <c r="AA414" i="5"/>
  <c r="AC321" i="5"/>
  <c r="AD321" i="5" s="1"/>
  <c r="AC410" i="5"/>
  <c r="AE410" i="5" s="1"/>
  <c r="AC480" i="5"/>
  <c r="AD480" i="5" s="1"/>
  <c r="AC135" i="5"/>
  <c r="AS135" i="5" s="1"/>
  <c r="AC420" i="5"/>
  <c r="AD420" i="5" s="1"/>
  <c r="AC559" i="5"/>
  <c r="AD559" i="5" s="1"/>
  <c r="AC436" i="5"/>
  <c r="AS436" i="5" s="1"/>
  <c r="AA66" i="5"/>
  <c r="AC182" i="5"/>
  <c r="AS182" i="5" s="1"/>
  <c r="AT182" i="5" s="1"/>
  <c r="AC20" i="5"/>
  <c r="AD20" i="5" s="1"/>
  <c r="AC45" i="5"/>
  <c r="AE45" i="5" s="1"/>
  <c r="AC201" i="5"/>
  <c r="AD201" i="5" s="1"/>
  <c r="AC102" i="5"/>
  <c r="AD102" i="5" s="1"/>
  <c r="AC323" i="5"/>
  <c r="AD323" i="5" s="1"/>
  <c r="AC66" i="5"/>
  <c r="AE66" i="5" s="1"/>
  <c r="AC528" i="5"/>
  <c r="AE528" i="5" s="1"/>
  <c r="AA369" i="5"/>
  <c r="AA317" i="5"/>
  <c r="AA410" i="5"/>
  <c r="AC204" i="5"/>
  <c r="AE204" i="5" s="1"/>
  <c r="AC506" i="5"/>
  <c r="AS506" i="5" s="1"/>
  <c r="AC409" i="5"/>
  <c r="AE409" i="5" s="1"/>
  <c r="AA282" i="5"/>
  <c r="AA506" i="5"/>
  <c r="AB135" i="5"/>
  <c r="AA201" i="5"/>
  <c r="AC272" i="5"/>
  <c r="AE272" i="5" s="1"/>
  <c r="AC414" i="5"/>
  <c r="AE414" i="5" s="1"/>
  <c r="AC81" i="5"/>
  <c r="AS81" i="5" s="1"/>
  <c r="AU81" i="5" s="1"/>
  <c r="AC387" i="5"/>
  <c r="AD387" i="5" s="1"/>
  <c r="AC266" i="5"/>
  <c r="AS266" i="5" s="1"/>
  <c r="AC282" i="5"/>
  <c r="AS282" i="5" s="1"/>
  <c r="AC72" i="5"/>
  <c r="AS72" i="5" s="1"/>
  <c r="AU72" i="5" s="1"/>
  <c r="AC558" i="5"/>
  <c r="AD558" i="5" s="1"/>
  <c r="AC317" i="5"/>
  <c r="AS317" i="5" s="1"/>
  <c r="AC240" i="5"/>
  <c r="AD240" i="5" s="1"/>
  <c r="AL11" i="5"/>
  <c r="AE96" i="4"/>
  <c r="X96" i="4"/>
  <c r="AJ96" i="4" s="1"/>
  <c r="AJ77" i="4"/>
  <c r="AO9" i="5"/>
  <c r="W39" i="4"/>
  <c r="X39" i="4" s="1"/>
  <c r="AJ39" i="4" s="1"/>
  <c r="W72" i="4"/>
  <c r="Y72" i="4" s="1"/>
  <c r="Z72" i="4" s="1"/>
  <c r="AF72" i="4" s="1"/>
  <c r="AG72" i="4" s="1"/>
  <c r="AI72" i="4" s="1"/>
  <c r="AG96" i="4"/>
  <c r="AI96" i="4" s="1"/>
  <c r="Z149" i="4"/>
  <c r="AF149" i="4" s="1"/>
  <c r="AO149" i="4" s="1"/>
  <c r="W22" i="4"/>
  <c r="X22" i="4" s="1"/>
  <c r="AJ22" i="4" s="1"/>
  <c r="AE140" i="4"/>
  <c r="X140" i="4"/>
  <c r="AJ140" i="4" s="1"/>
  <c r="W109" i="4"/>
  <c r="X109" i="4" s="1"/>
  <c r="AJ109" i="4" s="1"/>
  <c r="Z42" i="4"/>
  <c r="AF42" i="4" s="1"/>
  <c r="W129" i="4"/>
  <c r="Y129" i="4" s="1"/>
  <c r="Z129" i="4" s="1"/>
  <c r="AF129" i="4" s="1"/>
  <c r="AP9" i="5"/>
  <c r="AR9" i="5" s="1"/>
  <c r="W148" i="4"/>
  <c r="X148" i="4" s="1"/>
  <c r="AJ148" i="4" s="1"/>
  <c r="AP11" i="5"/>
  <c r="AQ11" i="5" s="1"/>
  <c r="AM121" i="4"/>
  <c r="AN121" i="4" s="1"/>
  <c r="W67" i="4"/>
  <c r="Y67" i="4" s="1"/>
  <c r="Z67" i="4" s="1"/>
  <c r="AM59" i="4"/>
  <c r="AN59" i="4" s="1"/>
  <c r="W59" i="4"/>
  <c r="X59" i="4" s="1"/>
  <c r="AJ59" i="4" s="1"/>
  <c r="AM132" i="4"/>
  <c r="AN132" i="4" s="1"/>
  <c r="W132" i="4"/>
  <c r="AM83" i="4"/>
  <c r="AN83" i="4" s="1"/>
  <c r="W83" i="4"/>
  <c r="AM141" i="4"/>
  <c r="AN141" i="4" s="1"/>
  <c r="W141" i="4"/>
  <c r="AM62" i="4"/>
  <c r="AN62" i="4" s="1"/>
  <c r="W62" i="4"/>
  <c r="AM21" i="4"/>
  <c r="AN21" i="4" s="1"/>
  <c r="W21" i="4"/>
  <c r="AN84" i="4"/>
  <c r="AM79" i="4"/>
  <c r="AN79" i="4" s="1"/>
  <c r="W79" i="4"/>
  <c r="Y79" i="4" s="1"/>
  <c r="Z79" i="4" s="1"/>
  <c r="W24" i="4"/>
  <c r="AM24" i="4"/>
  <c r="AN24" i="4" s="1"/>
  <c r="X105" i="4"/>
  <c r="AJ105" i="4" s="1"/>
  <c r="Y105" i="4"/>
  <c r="Z105" i="4" s="1"/>
  <c r="AE105" i="4"/>
  <c r="AH105" i="4"/>
  <c r="AM133" i="4"/>
  <c r="AN133" i="4" s="1"/>
  <c r="W133" i="4"/>
  <c r="W155" i="4"/>
  <c r="AE155" i="4" s="1"/>
  <c r="AM155" i="4"/>
  <c r="AN155" i="4" s="1"/>
  <c r="AM101" i="4"/>
  <c r="AN101" i="4" s="1"/>
  <c r="W101" i="4"/>
  <c r="AM34" i="4"/>
  <c r="AN34" i="4" s="1"/>
  <c r="W34" i="4"/>
  <c r="AM130" i="4"/>
  <c r="AN130" i="4" s="1"/>
  <c r="W130" i="4"/>
  <c r="Z140" i="4"/>
  <c r="AN143" i="4"/>
  <c r="AM144" i="4"/>
  <c r="AN144" i="4" s="1"/>
  <c r="W144" i="4"/>
  <c r="AN140" i="4"/>
  <c r="W152" i="4"/>
  <c r="Y152" i="4" s="1"/>
  <c r="Z152" i="4" s="1"/>
  <c r="W94" i="4"/>
  <c r="AE94" i="4" s="1"/>
  <c r="AM94" i="4"/>
  <c r="AN94" i="4" s="1"/>
  <c r="AM58" i="4"/>
  <c r="AN58" i="4" s="1"/>
  <c r="W58" i="4"/>
  <c r="AH155" i="4"/>
  <c r="AM10" i="4"/>
  <c r="AN10" i="4" s="1"/>
  <c r="W10" i="4"/>
  <c r="AE143" i="4"/>
  <c r="R9" i="5"/>
  <c r="S9" i="5"/>
  <c r="X84" i="4"/>
  <c r="AJ84" i="4" s="1"/>
  <c r="AE84" i="4"/>
  <c r="Y84" i="4"/>
  <c r="Z84" i="4" s="1"/>
  <c r="AI9" i="5"/>
  <c r="AH9" i="5"/>
  <c r="V9" i="5"/>
  <c r="U9" i="5"/>
  <c r="Y9" i="5"/>
  <c r="X9" i="5"/>
  <c r="AF143" i="4"/>
  <c r="X143" i="4"/>
  <c r="AJ143" i="4" s="1"/>
  <c r="AE40" i="4"/>
  <c r="AA11" i="5"/>
  <c r="AI11" i="5"/>
  <c r="AH11" i="5"/>
  <c r="S11" i="5"/>
  <c r="R11" i="5"/>
  <c r="X11" i="5"/>
  <c r="Y11" i="5"/>
  <c r="AR327" i="5"/>
  <c r="AR436" i="5"/>
  <c r="AQ438" i="5"/>
  <c r="AQ420" i="5"/>
  <c r="AR381" i="5"/>
  <c r="AQ392" i="5"/>
  <c r="AR261" i="5"/>
  <c r="AR531" i="5"/>
  <c r="AQ259" i="5"/>
  <c r="AR103" i="5"/>
  <c r="AR533" i="5"/>
  <c r="AR274" i="5"/>
  <c r="AQ66" i="5"/>
  <c r="AR474" i="5"/>
  <c r="AQ140" i="5"/>
  <c r="AQ101" i="5"/>
  <c r="AQ487" i="5"/>
  <c r="AR278" i="5"/>
  <c r="AR337" i="5"/>
  <c r="AQ143" i="5"/>
  <c r="AR397" i="5"/>
  <c r="AR226" i="5"/>
  <c r="AR296" i="5"/>
  <c r="AE122" i="4"/>
  <c r="AB128" i="5"/>
  <c r="AA180" i="5"/>
  <c r="AA361" i="5"/>
  <c r="AA338" i="5"/>
  <c r="AB353" i="5"/>
  <c r="AC315" i="5"/>
  <c r="AE315" i="5" s="1"/>
  <c r="AA267" i="5"/>
  <c r="AA253" i="5"/>
  <c r="AB362" i="5"/>
  <c r="AC396" i="5"/>
  <c r="AE396" i="5" s="1"/>
  <c r="AA318" i="5"/>
  <c r="AB511" i="5"/>
  <c r="AC539" i="5"/>
  <c r="AD539" i="5" s="1"/>
  <c r="AB465" i="5"/>
  <c r="AC430" i="5"/>
  <c r="AD430" i="5" s="1"/>
  <c r="AA346" i="5"/>
  <c r="AA281" i="5"/>
  <c r="AC8" i="5"/>
  <c r="AE8" i="5" s="1"/>
  <c r="AA158" i="5"/>
  <c r="AB357" i="5"/>
  <c r="AC290" i="5"/>
  <c r="AS290" i="5" s="1"/>
  <c r="AC305" i="5"/>
  <c r="AS305" i="5" s="1"/>
  <c r="AB206" i="5"/>
  <c r="AB440" i="5"/>
  <c r="AC292" i="5"/>
  <c r="AD292" i="5" s="1"/>
  <c r="AB65" i="5"/>
  <c r="AB214" i="5"/>
  <c r="AB101" i="5"/>
  <c r="AB326" i="5"/>
  <c r="AB253" i="5"/>
  <c r="AB287" i="5"/>
  <c r="AA465" i="5"/>
  <c r="AA295" i="5"/>
  <c r="AC346" i="5"/>
  <c r="AD346" i="5" s="1"/>
  <c r="AA186" i="5"/>
  <c r="AB158" i="5"/>
  <c r="AC407" i="5"/>
  <c r="AD407" i="5" s="1"/>
  <c r="AC357" i="5"/>
  <c r="AE357" i="5" s="1"/>
  <c r="AA290" i="5"/>
  <c r="AA305" i="5"/>
  <c r="AA440" i="5"/>
  <c r="AB292" i="5"/>
  <c r="AA65" i="5"/>
  <c r="AB230" i="5"/>
  <c r="AC326" i="5"/>
  <c r="AD326" i="5" s="1"/>
  <c r="AA353" i="5"/>
  <c r="AB339" i="5"/>
  <c r="AC95" i="5"/>
  <c r="AE95" i="5" s="1"/>
  <c r="AB295" i="5"/>
  <c r="AB186" i="5"/>
  <c r="AA488" i="5"/>
  <c r="AA407" i="5"/>
  <c r="AA427" i="5"/>
  <c r="AA323" i="5"/>
  <c r="AC227" i="5"/>
  <c r="AD227" i="5" s="1"/>
  <c r="AC230" i="5"/>
  <c r="AD230" i="5" s="1"/>
  <c r="AA315" i="5"/>
  <c r="AA245" i="5"/>
  <c r="AC284" i="5"/>
  <c r="AS284" i="5" s="1"/>
  <c r="AC287" i="5"/>
  <c r="AE287" i="5" s="1"/>
  <c r="AC311" i="5"/>
  <c r="AS311" i="5" s="1"/>
  <c r="AC124" i="5"/>
  <c r="AD124" i="5" s="1"/>
  <c r="AA496" i="5"/>
  <c r="AB377" i="5"/>
  <c r="AB245" i="5"/>
  <c r="AC224" i="5"/>
  <c r="AD224" i="5" s="1"/>
  <c r="AA339" i="5"/>
  <c r="AA284" i="5"/>
  <c r="AA95" i="5"/>
  <c r="AA311" i="5"/>
  <c r="AA365" i="5"/>
  <c r="AA391" i="5"/>
  <c r="AC172" i="5"/>
  <c r="AD172" i="5" s="1"/>
  <c r="AB20" i="5"/>
  <c r="AB458" i="5"/>
  <c r="AA127" i="5"/>
  <c r="AA122" i="5"/>
  <c r="AB323" i="5"/>
  <c r="AB496" i="5"/>
  <c r="AA377" i="5"/>
  <c r="AA172" i="5"/>
  <c r="AA197" i="5"/>
  <c r="AB399" i="5"/>
  <c r="AA224" i="5"/>
  <c r="AB365" i="5"/>
  <c r="AC176" i="5"/>
  <c r="AS176" i="5" s="1"/>
  <c r="AE146" i="4"/>
  <c r="AC391" i="5"/>
  <c r="AD391" i="5" s="1"/>
  <c r="AC458" i="5"/>
  <c r="AE458" i="5" s="1"/>
  <c r="AB127" i="5"/>
  <c r="AB122" i="5"/>
  <c r="AC435" i="5"/>
  <c r="AE435" i="5" s="1"/>
  <c r="AA176" i="5"/>
  <c r="AA504" i="5"/>
  <c r="AB117" i="5"/>
  <c r="AB124" i="5"/>
  <c r="AA239" i="5"/>
  <c r="AB197" i="5"/>
  <c r="AB45" i="5"/>
  <c r="AC196" i="5"/>
  <c r="AD196" i="5" s="1"/>
  <c r="AA450" i="5"/>
  <c r="AA20" i="5"/>
  <c r="AC442" i="5"/>
  <c r="AD442" i="5" s="1"/>
  <c r="AA269" i="5"/>
  <c r="AB473" i="5"/>
  <c r="AB450" i="5"/>
  <c r="AB165" i="5"/>
  <c r="AB120" i="5"/>
  <c r="AA45" i="5"/>
  <c r="AC423" i="5"/>
  <c r="AD423" i="5" s="1"/>
  <c r="AC490" i="5"/>
  <c r="AD490" i="5" s="1"/>
  <c r="AC355" i="5"/>
  <c r="AD355" i="5" s="1"/>
  <c r="AF108" i="4"/>
  <c r="AG108" i="4" s="1"/>
  <c r="AI108" i="4" s="1"/>
  <c r="AA300" i="5"/>
  <c r="AB433" i="5"/>
  <c r="AA248" i="5"/>
  <c r="AA252" i="5"/>
  <c r="AA84" i="5"/>
  <c r="AA23" i="5"/>
  <c r="AB427" i="5"/>
  <c r="AA28" i="5"/>
  <c r="AA399" i="5"/>
  <c r="AA87" i="5"/>
  <c r="AA381" i="5"/>
  <c r="AA178" i="5"/>
  <c r="AC28" i="5"/>
  <c r="AE28" i="5" s="1"/>
  <c r="AB178" i="5"/>
  <c r="AA334" i="5"/>
  <c r="AC524" i="5"/>
  <c r="AS524" i="5" s="1"/>
  <c r="AB54" i="5"/>
  <c r="AB143" i="5"/>
  <c r="AB61" i="5"/>
  <c r="AB246" i="5"/>
  <c r="AA21" i="5"/>
  <c r="AA225" i="5"/>
  <c r="AA10" i="5"/>
  <c r="AB341" i="5"/>
  <c r="AB268" i="5"/>
  <c r="AA480" i="5"/>
  <c r="AA434" i="5"/>
  <c r="AA104" i="5"/>
  <c r="AB434" i="5"/>
  <c r="AB280" i="5"/>
  <c r="AB182" i="5"/>
  <c r="AA530" i="5"/>
  <c r="AB542" i="5"/>
  <c r="X40" i="4"/>
  <c r="AJ40" i="4" s="1"/>
  <c r="AE82" i="4"/>
  <c r="AB302" i="5"/>
  <c r="AA310" i="5"/>
  <c r="AB307" i="5"/>
  <c r="AB30" i="5"/>
  <c r="AC187" i="5"/>
  <c r="AS187" i="5" s="1"/>
  <c r="AC167" i="5"/>
  <c r="AS167" i="5" s="1"/>
  <c r="AB508" i="5"/>
  <c r="AC449" i="5"/>
  <c r="AS449" i="5" s="1"/>
  <c r="AB44" i="5"/>
  <c r="AB449" i="5"/>
  <c r="AE71" i="4"/>
  <c r="AB210" i="5"/>
  <c r="AB73" i="5"/>
  <c r="AB279" i="5"/>
  <c r="AB159" i="5"/>
  <c r="AB411" i="5"/>
  <c r="AA383" i="5"/>
  <c r="AA183" i="5"/>
  <c r="AC322" i="5"/>
  <c r="AE322" i="5" s="1"/>
  <c r="AB237" i="5"/>
  <c r="AA73" i="5"/>
  <c r="AA337" i="5"/>
  <c r="AC37" i="5"/>
  <c r="AS37" i="5" s="1"/>
  <c r="AA510" i="5"/>
  <c r="AA152" i="5"/>
  <c r="AC86" i="5"/>
  <c r="AE86" i="5" s="1"/>
  <c r="AA508" i="5"/>
  <c r="AA78" i="5"/>
  <c r="AC79" i="5"/>
  <c r="AD79" i="5" s="1"/>
  <c r="AA162" i="5"/>
  <c r="AB240" i="5"/>
  <c r="AA79" i="5"/>
  <c r="AB378" i="5"/>
  <c r="AB233" i="5"/>
  <c r="AC249" i="5"/>
  <c r="AE249" i="5" s="1"/>
  <c r="AB68" i="5"/>
  <c r="AA190" i="5"/>
  <c r="AA52" i="5"/>
  <c r="AA12" i="5"/>
  <c r="AC177" i="5"/>
  <c r="AD177" i="5" s="1"/>
  <c r="AC211" i="5"/>
  <c r="AE211" i="5" s="1"/>
  <c r="AA227" i="5"/>
  <c r="AA237" i="5"/>
  <c r="AA352" i="5"/>
  <c r="AC233" i="5"/>
  <c r="AE233" i="5" s="1"/>
  <c r="AB249" i="5"/>
  <c r="AA68" i="5"/>
  <c r="AA234" i="5"/>
  <c r="AA177" i="5"/>
  <c r="AB156" i="5"/>
  <c r="AB198" i="5"/>
  <c r="AC419" i="5"/>
  <c r="AD419" i="5" s="1"/>
  <c r="AB211" i="5"/>
  <c r="AB195" i="5"/>
  <c r="AB345" i="5"/>
  <c r="AA378" i="5"/>
  <c r="AC246" i="5"/>
  <c r="AD246" i="5" s="1"/>
  <c r="AB123" i="5"/>
  <c r="AB271" i="5"/>
  <c r="AA56" i="5"/>
  <c r="AC352" i="5"/>
  <c r="AD352" i="5" s="1"/>
  <c r="AC393" i="5"/>
  <c r="AE393" i="5" s="1"/>
  <c r="AB234" i="5"/>
  <c r="AA556" i="5"/>
  <c r="AC330" i="5"/>
  <c r="AE330" i="5" s="1"/>
  <c r="AC156" i="5"/>
  <c r="AD156" i="5" s="1"/>
  <c r="AA164" i="5"/>
  <c r="AB141" i="5"/>
  <c r="AB386" i="5"/>
  <c r="AC195" i="5"/>
  <c r="AE195" i="5" s="1"/>
  <c r="AA552" i="5"/>
  <c r="AA115" i="5"/>
  <c r="AA280" i="5"/>
  <c r="AC123" i="5"/>
  <c r="AS123" i="5" s="1"/>
  <c r="AC271" i="5"/>
  <c r="AD271" i="5" s="1"/>
  <c r="AC56" i="5"/>
  <c r="AE56" i="5" s="1"/>
  <c r="AC159" i="5"/>
  <c r="AS159" i="5" s="1"/>
  <c r="AB393" i="5"/>
  <c r="AA187" i="5"/>
  <c r="AC337" i="5"/>
  <c r="AS337" i="5" s="1"/>
  <c r="AB556" i="5"/>
  <c r="AA44" i="5"/>
  <c r="AB37" i="5"/>
  <c r="AA330" i="5"/>
  <c r="AA218" i="5"/>
  <c r="AB102" i="5"/>
  <c r="AA141" i="5"/>
  <c r="AA167" i="5"/>
  <c r="AA229" i="5"/>
  <c r="AB115" i="5"/>
  <c r="AB77" i="5"/>
  <c r="AB21" i="5"/>
  <c r="AB310" i="5"/>
  <c r="AB218" i="5"/>
  <c r="AA102" i="5"/>
  <c r="AB183" i="5"/>
  <c r="AC30" i="5"/>
  <c r="AD30" i="5" s="1"/>
  <c r="AB322" i="5"/>
  <c r="AC542" i="5"/>
  <c r="AE542" i="5" s="1"/>
  <c r="AB229" i="5"/>
  <c r="AE108" i="4"/>
  <c r="AC162" i="5"/>
  <c r="AD162" i="5" s="1"/>
  <c r="AC52" i="5"/>
  <c r="AD52" i="5" s="1"/>
  <c r="AC307" i="5"/>
  <c r="AE307" i="5" s="1"/>
  <c r="AA182" i="5"/>
  <c r="AC152" i="5"/>
  <c r="AD152" i="5" s="1"/>
  <c r="AA210" i="5"/>
  <c r="AC10" i="5"/>
  <c r="AD10" i="5" s="1"/>
  <c r="AA279" i="5"/>
  <c r="AC190" i="5"/>
  <c r="AD190" i="5" s="1"/>
  <c r="AC225" i="5"/>
  <c r="AE225" i="5" s="1"/>
  <c r="AC96" i="5"/>
  <c r="AE96" i="5" s="1"/>
  <c r="AA240" i="5"/>
  <c r="AC164" i="5"/>
  <c r="AE164" i="5" s="1"/>
  <c r="AB12" i="5"/>
  <c r="AB78" i="5"/>
  <c r="AC299" i="5"/>
  <c r="AD299" i="5" s="1"/>
  <c r="AE70" i="4"/>
  <c r="AA243" i="5"/>
  <c r="AB38" i="5"/>
  <c r="AC63" i="5"/>
  <c r="AS63" i="5" s="1"/>
  <c r="AB154" i="5"/>
  <c r="AB272" i="5"/>
  <c r="AA385" i="5"/>
  <c r="AA492" i="5"/>
  <c r="AA72" i="5"/>
  <c r="AB559" i="5"/>
  <c r="AC250" i="5"/>
  <c r="AD250" i="5" s="1"/>
  <c r="AC131" i="5"/>
  <c r="AD131" i="5" s="1"/>
  <c r="AC64" i="5"/>
  <c r="AD64" i="5" s="1"/>
  <c r="AB67" i="5"/>
  <c r="AB477" i="5"/>
  <c r="AB204" i="5"/>
  <c r="AC516" i="5"/>
  <c r="AE516" i="5" s="1"/>
  <c r="AC347" i="5"/>
  <c r="AS347" i="5" s="1"/>
  <c r="AB99" i="5"/>
  <c r="AC74" i="5"/>
  <c r="AS74" i="5" s="1"/>
  <c r="AC169" i="5"/>
  <c r="AE169" i="5" s="1"/>
  <c r="AB83" i="5"/>
  <c r="AC281" i="5"/>
  <c r="AE281" i="5" s="1"/>
  <c r="AC154" i="5"/>
  <c r="AD154" i="5" s="1"/>
  <c r="AA107" i="5"/>
  <c r="AC146" i="5"/>
  <c r="AS146" i="5" s="1"/>
  <c r="AC98" i="5"/>
  <c r="AD98" i="5" s="1"/>
  <c r="AA559" i="5"/>
  <c r="AB131" i="5"/>
  <c r="AA266" i="5"/>
  <c r="AA204" i="5"/>
  <c r="AC550" i="5"/>
  <c r="AD550" i="5" s="1"/>
  <c r="AA478" i="5"/>
  <c r="AA374" i="5"/>
  <c r="AC11" i="5"/>
  <c r="AA328" i="5"/>
  <c r="AC328" i="5"/>
  <c r="AD328" i="5" s="1"/>
  <c r="AC526" i="5"/>
  <c r="AD526" i="5" s="1"/>
  <c r="AA113" i="5"/>
  <c r="AA500" i="5"/>
  <c r="AA516" i="5"/>
  <c r="AA457" i="5"/>
  <c r="AA541" i="5"/>
  <c r="AB347" i="5"/>
  <c r="AA99" i="5"/>
  <c r="AC273" i="5"/>
  <c r="AE273" i="5" s="1"/>
  <c r="AB74" i="5"/>
  <c r="AA344" i="5"/>
  <c r="AA319" i="5"/>
  <c r="AC107" i="5"/>
  <c r="AD107" i="5" s="1"/>
  <c r="AA146" i="5"/>
  <c r="AB98" i="5"/>
  <c r="AB534" i="5"/>
  <c r="AC139" i="5"/>
  <c r="AE139" i="5" s="1"/>
  <c r="AB419" i="5"/>
  <c r="AC170" i="5"/>
  <c r="AS170" i="5" s="1"/>
  <c r="AB266" i="5"/>
  <c r="AA173" i="5"/>
  <c r="AB96" i="5"/>
  <c r="AC288" i="5"/>
  <c r="AS288" i="5" s="1"/>
  <c r="AB413" i="5"/>
  <c r="AC488" i="5"/>
  <c r="AS488" i="5" s="1"/>
  <c r="AB526" i="5"/>
  <c r="AB113" i="5"/>
  <c r="AB500" i="5"/>
  <c r="AA134" i="5"/>
  <c r="AC457" i="5"/>
  <c r="AD457" i="5" s="1"/>
  <c r="AC71" i="5"/>
  <c r="AE71" i="5" s="1"/>
  <c r="AB541" i="5"/>
  <c r="AE51" i="4"/>
  <c r="AA273" i="5"/>
  <c r="AB344" i="5"/>
  <c r="AC258" i="5"/>
  <c r="AS258" i="5" s="1"/>
  <c r="AC319" i="5"/>
  <c r="AS319" i="5" s="1"/>
  <c r="AB39" i="5"/>
  <c r="AA534" i="5"/>
  <c r="AA198" i="5"/>
  <c r="AB139" i="5"/>
  <c r="AA170" i="5"/>
  <c r="AA345" i="5"/>
  <c r="AC370" i="5"/>
  <c r="AS370" i="5" s="1"/>
  <c r="AB71" i="5"/>
  <c r="AE28" i="4"/>
  <c r="AC39" i="5"/>
  <c r="AE39" i="5" s="1"/>
  <c r="AA519" i="5"/>
  <c r="AB134" i="5"/>
  <c r="AB432" i="5"/>
  <c r="AC100" i="5"/>
  <c r="AS100" i="5" s="1"/>
  <c r="AA238" i="5"/>
  <c r="AA22" i="5"/>
  <c r="AC85" i="5"/>
  <c r="AS85" i="5" s="1"/>
  <c r="AC235" i="5"/>
  <c r="AE235" i="5" s="1"/>
  <c r="AA444" i="5"/>
  <c r="AC92" i="5"/>
  <c r="AE92" i="5" s="1"/>
  <c r="AC185" i="5"/>
  <c r="AD185" i="5" s="1"/>
  <c r="AA517" i="5"/>
  <c r="AA258" i="5"/>
  <c r="AB370" i="5"/>
  <c r="AC161" i="5"/>
  <c r="AS161" i="5" s="1"/>
  <c r="AA432" i="5"/>
  <c r="AB299" i="5"/>
  <c r="AB22" i="5"/>
  <c r="AB85" i="5"/>
  <c r="AA185" i="5"/>
  <c r="AB238" i="5"/>
  <c r="AA277" i="5"/>
  <c r="AB481" i="5"/>
  <c r="AG27" i="4"/>
  <c r="AI27" i="4" s="1"/>
  <c r="AO27" i="4"/>
  <c r="AO19" i="4"/>
  <c r="AG19" i="4"/>
  <c r="AI19" i="4" s="1"/>
  <c r="AB466" i="5"/>
  <c r="AC412" i="5"/>
  <c r="AD412" i="5" s="1"/>
  <c r="AB381" i="5"/>
  <c r="AA47" i="5"/>
  <c r="AC464" i="5"/>
  <c r="AS464" i="5" s="1"/>
  <c r="AB248" i="5"/>
  <c r="AA408" i="5"/>
  <c r="AA433" i="5"/>
  <c r="AA349" i="5"/>
  <c r="AB312" i="5"/>
  <c r="AB555" i="5"/>
  <c r="AB443" i="5"/>
  <c r="AA505" i="5"/>
  <c r="AA155" i="5"/>
  <c r="AA512" i="5"/>
  <c r="AC334" i="5"/>
  <c r="AE334" i="5" s="1"/>
  <c r="AA355" i="5"/>
  <c r="AA547" i="5"/>
  <c r="AB451" i="5"/>
  <c r="AB232" i="5"/>
  <c r="AA46" i="5"/>
  <c r="AA420" i="5"/>
  <c r="AB536" i="5"/>
  <c r="AA481" i="5"/>
  <c r="AR210" i="5"/>
  <c r="AQ291" i="5"/>
  <c r="X23" i="4"/>
  <c r="AJ23" i="4" s="1"/>
  <c r="Y23" i="4"/>
  <c r="Z23" i="4" s="1"/>
  <c r="AE23" i="4"/>
  <c r="AN10" i="5"/>
  <c r="AO10" i="5"/>
  <c r="AE52" i="4"/>
  <c r="X52" i="4"/>
  <c r="AJ52" i="4" s="1"/>
  <c r="Y52" i="4"/>
  <c r="Z52" i="4" s="1"/>
  <c r="AA466" i="5"/>
  <c r="AA483" i="5"/>
  <c r="AB483" i="5"/>
  <c r="AC84" i="5"/>
  <c r="AD84" i="5" s="1"/>
  <c r="AB412" i="5"/>
  <c r="AC252" i="5"/>
  <c r="AS252" i="5" s="1"/>
  <c r="AB349" i="5"/>
  <c r="AA555" i="5"/>
  <c r="AB505" i="5"/>
  <c r="AB512" i="5"/>
  <c r="AA490" i="5"/>
  <c r="AA451" i="5"/>
  <c r="AA232" i="5"/>
  <c r="AB46" i="5"/>
  <c r="AA520" i="5"/>
  <c r="AA536" i="5"/>
  <c r="Y103" i="4"/>
  <c r="Z103" i="4" s="1"/>
  <c r="AF103" i="4" s="1"/>
  <c r="AO103" i="4" s="1"/>
  <c r="AE103" i="4"/>
  <c r="X103" i="4"/>
  <c r="AJ103" i="4" s="1"/>
  <c r="U10" i="5"/>
  <c r="V10" i="5"/>
  <c r="AE126" i="4"/>
  <c r="Y126" i="4"/>
  <c r="Z126" i="4" s="1"/>
  <c r="AE27" i="4"/>
  <c r="X128" i="4"/>
  <c r="AJ128" i="4" s="1"/>
  <c r="Y128" i="4"/>
  <c r="Z128" i="4" s="1"/>
  <c r="AE128" i="4"/>
  <c r="Y69" i="4"/>
  <c r="Z69" i="4" s="1"/>
  <c r="X69" i="4"/>
  <c r="AJ69" i="4" s="1"/>
  <c r="AE69" i="4"/>
  <c r="X93" i="4"/>
  <c r="AJ93" i="4" s="1"/>
  <c r="AE93" i="4"/>
  <c r="Y93" i="4"/>
  <c r="Z93" i="4" s="1"/>
  <c r="X45" i="4"/>
  <c r="AJ45" i="4" s="1"/>
  <c r="Y45" i="4"/>
  <c r="Z45" i="4" s="1"/>
  <c r="AF45" i="4" s="1"/>
  <c r="AG45" i="4" s="1"/>
  <c r="AI45" i="4" s="1"/>
  <c r="AE45" i="4"/>
  <c r="AE150" i="4"/>
  <c r="Y150" i="4"/>
  <c r="Z150" i="4" s="1"/>
  <c r="AH10" i="5"/>
  <c r="AI10" i="5"/>
  <c r="AA89" i="5"/>
  <c r="AA308" i="5"/>
  <c r="AA58" i="5"/>
  <c r="AB493" i="5"/>
  <c r="AA423" i="5"/>
  <c r="AA454" i="5"/>
  <c r="AC358" i="5"/>
  <c r="AE358" i="5" s="1"/>
  <c r="AA418" i="5"/>
  <c r="AA395" i="5"/>
  <c r="AB474" i="5"/>
  <c r="AB524" i="5"/>
  <c r="AC527" i="5"/>
  <c r="AE527" i="5" s="1"/>
  <c r="AA489" i="5"/>
  <c r="AA193" i="5"/>
  <c r="AQ181" i="5"/>
  <c r="X134" i="4"/>
  <c r="AJ134" i="4" s="1"/>
  <c r="Y134" i="4"/>
  <c r="Z134" i="4" s="1"/>
  <c r="AE134" i="4"/>
  <c r="R10" i="5"/>
  <c r="S10" i="5"/>
  <c r="Y137" i="4"/>
  <c r="Z137" i="4" s="1"/>
  <c r="X137" i="4"/>
  <c r="AJ137" i="4" s="1"/>
  <c r="AE137" i="4"/>
  <c r="X44" i="4"/>
  <c r="AK44" i="4" s="1"/>
  <c r="AF70" i="4"/>
  <c r="AE44" i="4"/>
  <c r="AE111" i="4"/>
  <c r="X111" i="4"/>
  <c r="AJ111" i="4" s="1"/>
  <c r="AA286" i="5"/>
  <c r="AB300" i="5"/>
  <c r="AC286" i="5"/>
  <c r="AS286" i="5" s="1"/>
  <c r="AC467" i="5"/>
  <c r="AS467" i="5" s="1"/>
  <c r="AB342" i="5"/>
  <c r="AC89" i="5"/>
  <c r="AD89" i="5" s="1"/>
  <c r="AB439" i="5"/>
  <c r="AB308" i="5"/>
  <c r="AC535" i="5"/>
  <c r="AD535" i="5" s="1"/>
  <c r="AC144" i="5"/>
  <c r="AS144" i="5" s="1"/>
  <c r="AB58" i="5"/>
  <c r="AC397" i="5"/>
  <c r="AS397" i="5" s="1"/>
  <c r="AC493" i="5"/>
  <c r="AD493" i="5" s="1"/>
  <c r="AC454" i="5"/>
  <c r="AS454" i="5" s="1"/>
  <c r="AA324" i="5"/>
  <c r="AA358" i="5"/>
  <c r="AB147" i="5"/>
  <c r="AC418" i="5"/>
  <c r="AD418" i="5" s="1"/>
  <c r="AB395" i="5"/>
  <c r="AB558" i="5"/>
  <c r="AC474" i="5"/>
  <c r="AD474" i="5" s="1"/>
  <c r="AC373" i="5"/>
  <c r="AS373" i="5" s="1"/>
  <c r="AB527" i="5"/>
  <c r="AC489" i="5"/>
  <c r="AS489" i="5" s="1"/>
  <c r="AB446" i="5"/>
  <c r="AC448" i="5"/>
  <c r="AS448" i="5" s="1"/>
  <c r="AC340" i="5"/>
  <c r="AD340" i="5" s="1"/>
  <c r="AB144" i="5"/>
  <c r="AE54" i="4"/>
  <c r="Y54" i="4"/>
  <c r="Z54" i="4" s="1"/>
  <c r="X108" i="4"/>
  <c r="Y8" i="4"/>
  <c r="Z8" i="4" s="1"/>
  <c r="AE8" i="4"/>
  <c r="X8" i="4"/>
  <c r="AJ8" i="4" s="1"/>
  <c r="X27" i="4"/>
  <c r="AF44" i="4"/>
  <c r="X70" i="4"/>
  <c r="AK70" i="4" s="1"/>
  <c r="AB34" i="5"/>
  <c r="AA467" i="5"/>
  <c r="AA342" i="5"/>
  <c r="AB485" i="5"/>
  <c r="AC439" i="5"/>
  <c r="AE439" i="5" s="1"/>
  <c r="AB325" i="5"/>
  <c r="AB535" i="5"/>
  <c r="AC367" i="5"/>
  <c r="AE367" i="5" s="1"/>
  <c r="AA415" i="5"/>
  <c r="AA397" i="5"/>
  <c r="AC324" i="5"/>
  <c r="AS324" i="5" s="1"/>
  <c r="AA147" i="5"/>
  <c r="AA558" i="5"/>
  <c r="AB109" i="5"/>
  <c r="AA373" i="5"/>
  <c r="AA446" i="5"/>
  <c r="AB448" i="5"/>
  <c r="AA340" i="5"/>
  <c r="AR94" i="5"/>
  <c r="Y157" i="4"/>
  <c r="Z157" i="4" s="1"/>
  <c r="AE157" i="4"/>
  <c r="X19" i="4"/>
  <c r="AJ19" i="4" s="1"/>
  <c r="AA184" i="5"/>
  <c r="AC485" i="5"/>
  <c r="AS485" i="5" s="1"/>
  <c r="AA325" i="5"/>
  <c r="AC47" i="5"/>
  <c r="AE47" i="5" s="1"/>
  <c r="AB367" i="5"/>
  <c r="AC415" i="5"/>
  <c r="AE415" i="5" s="1"/>
  <c r="AB464" i="5"/>
  <c r="AC408" i="5"/>
  <c r="AS408" i="5" s="1"/>
  <c r="AC312" i="5"/>
  <c r="AS312" i="5" s="1"/>
  <c r="AC443" i="5"/>
  <c r="AE443" i="5" s="1"/>
  <c r="AC109" i="5"/>
  <c r="AS109" i="5" s="1"/>
  <c r="AC547" i="5"/>
  <c r="AE547" i="5" s="1"/>
  <c r="AE43" i="4"/>
  <c r="AA81" i="5"/>
  <c r="Y77" i="4"/>
  <c r="Z77" i="4" s="1"/>
  <c r="AE77" i="4"/>
  <c r="AE19" i="4"/>
  <c r="AB184" i="5"/>
  <c r="AB81" i="5"/>
  <c r="X10" i="5"/>
  <c r="Y10" i="5"/>
  <c r="Y116" i="4"/>
  <c r="Z116" i="4" s="1"/>
  <c r="AE116" i="4"/>
  <c r="X71" i="4"/>
  <c r="AJ71" i="4" s="1"/>
  <c r="AG40" i="4"/>
  <c r="AI40" i="4" s="1"/>
  <c r="AO40" i="4"/>
  <c r="X47" i="4"/>
  <c r="AJ47" i="4" s="1"/>
  <c r="Y47" i="4"/>
  <c r="Z47" i="4" s="1"/>
  <c r="AE47" i="4"/>
  <c r="X116" i="4"/>
  <c r="AC192" i="5"/>
  <c r="AS192" i="5" s="1"/>
  <c r="AB242" i="5"/>
  <c r="AC549" i="5"/>
  <c r="AD549" i="5" s="1"/>
  <c r="AA145" i="5"/>
  <c r="AB145" i="5"/>
  <c r="AC149" i="5"/>
  <c r="AS149" i="5" s="1"/>
  <c r="AA264" i="5"/>
  <c r="AA528" i="5"/>
  <c r="AB51" i="5"/>
  <c r="AA476" i="5"/>
  <c r="AA33" i="5"/>
  <c r="AC445" i="5"/>
  <c r="AS445" i="5" s="1"/>
  <c r="AA553" i="5"/>
  <c r="AB24" i="5"/>
  <c r="AA398" i="5"/>
  <c r="AC88" i="5"/>
  <c r="AE88" i="5" s="1"/>
  <c r="AC368" i="5"/>
  <c r="AD368" i="5" s="1"/>
  <c r="AB406" i="5"/>
  <c r="AA497" i="5"/>
  <c r="AA136" i="5"/>
  <c r="AC431" i="5"/>
  <c r="AD431" i="5" s="1"/>
  <c r="AC519" i="5"/>
  <c r="AD519" i="5" s="1"/>
  <c r="AB191" i="5"/>
  <c r="AC484" i="5"/>
  <c r="AS484" i="5" s="1"/>
  <c r="AC461" i="5"/>
  <c r="AS461" i="5" s="1"/>
  <c r="AC207" i="5"/>
  <c r="AD207" i="5" s="1"/>
  <c r="AB41" i="5"/>
  <c r="AC538" i="5"/>
  <c r="AS538" i="5" s="1"/>
  <c r="AB200" i="5"/>
  <c r="AA314" i="5"/>
  <c r="AC61" i="5"/>
  <c r="AD61" i="5" s="1"/>
  <c r="AB215" i="5"/>
  <c r="AC87" i="5"/>
  <c r="AS87" i="5" s="1"/>
  <c r="AA67" i="5"/>
  <c r="AA126" i="5"/>
  <c r="AB384" i="5"/>
  <c r="AC503" i="5"/>
  <c r="AE503" i="5" s="1"/>
  <c r="AB264" i="5"/>
  <c r="AA153" i="5"/>
  <c r="AB110" i="5"/>
  <c r="AB316" i="5"/>
  <c r="AB437" i="5"/>
  <c r="AA148" i="5"/>
  <c r="AB476" i="5"/>
  <c r="AB33" i="5"/>
  <c r="AA138" i="5"/>
  <c r="AB76" i="5"/>
  <c r="AA24" i="5"/>
  <c r="AB88" i="5"/>
  <c r="AC510" i="5"/>
  <c r="AD510" i="5" s="1"/>
  <c r="AC545" i="5"/>
  <c r="AD545" i="5" s="1"/>
  <c r="AB459" i="5"/>
  <c r="AB40" i="5"/>
  <c r="AC91" i="5"/>
  <c r="AS91" i="5" s="1"/>
  <c r="AB136" i="5"/>
  <c r="AC191" i="5"/>
  <c r="AE191" i="5" s="1"/>
  <c r="AA484" i="5"/>
  <c r="AA461" i="5"/>
  <c r="AA207" i="5"/>
  <c r="AC276" i="5"/>
  <c r="AD276" i="5" s="1"/>
  <c r="AA538" i="5"/>
  <c r="AB173" i="5"/>
  <c r="AB388" i="5"/>
  <c r="AB126" i="5"/>
  <c r="B112" i="2"/>
  <c r="B154" i="2" s="1"/>
  <c r="H40" i="1" s="1"/>
  <c r="AB9" i="5"/>
  <c r="AA9" i="5"/>
  <c r="AC9" i="5"/>
  <c r="AC118" i="5"/>
  <c r="AS118" i="5" s="1"/>
  <c r="AB219" i="5"/>
  <c r="AC212" i="5"/>
  <c r="AS212" i="5" s="1"/>
  <c r="AA503" i="5"/>
  <c r="AA549" i="5"/>
  <c r="AC531" i="5"/>
  <c r="AD531" i="5" s="1"/>
  <c r="AB350" i="5"/>
  <c r="AC487" i="5"/>
  <c r="AD487" i="5" s="1"/>
  <c r="AA422" i="5"/>
  <c r="AA482" i="5"/>
  <c r="AA468" i="5"/>
  <c r="AA479" i="5"/>
  <c r="AA518" i="5"/>
  <c r="AB530" i="5"/>
  <c r="AA515" i="5"/>
  <c r="AC256" i="5"/>
  <c r="AS256" i="5" s="1"/>
  <c r="AA531" i="5"/>
  <c r="AC557" i="5"/>
  <c r="AS557" i="5" s="1"/>
  <c r="AA364" i="5"/>
  <c r="AC372" i="5"/>
  <c r="AE372" i="5" s="1"/>
  <c r="AB479" i="5"/>
  <c r="AA192" i="5"/>
  <c r="AC242" i="5"/>
  <c r="AD242" i="5" s="1"/>
  <c r="AB507" i="5"/>
  <c r="AA75" i="5"/>
  <c r="AC130" i="5"/>
  <c r="AS130" i="5" s="1"/>
  <c r="AB557" i="5"/>
  <c r="AC554" i="5"/>
  <c r="AS554" i="5" s="1"/>
  <c r="AB216" i="5"/>
  <c r="AA35" i="5"/>
  <c r="AB482" i="5"/>
  <c r="AA250" i="5"/>
  <c r="AC364" i="5"/>
  <c r="AE364" i="5" s="1"/>
  <c r="AA57" i="5"/>
  <c r="AA372" i="5"/>
  <c r="AC389" i="5"/>
  <c r="AE389" i="5" s="1"/>
  <c r="AA212" i="5"/>
  <c r="AB285" i="5"/>
  <c r="AB389" i="5"/>
  <c r="AA285" i="5"/>
  <c r="AA257" i="5"/>
  <c r="AB528" i="5"/>
  <c r="AC507" i="5"/>
  <c r="AD507" i="5" s="1"/>
  <c r="AB75" i="5"/>
  <c r="AB130" i="5"/>
  <c r="AC51" i="5"/>
  <c r="AE51" i="5" s="1"/>
  <c r="AB554" i="5"/>
  <c r="AA216" i="5"/>
  <c r="AB398" i="5"/>
  <c r="B118" i="2"/>
  <c r="B99" i="2" s="1"/>
  <c r="B119" i="2" s="1"/>
  <c r="AB35" i="5"/>
  <c r="AC497" i="5"/>
  <c r="AE497" i="5" s="1"/>
  <c r="AC41" i="5"/>
  <c r="AD41" i="5" s="1"/>
  <c r="AC57" i="5"/>
  <c r="AD57" i="5" s="1"/>
  <c r="AC215" i="5"/>
  <c r="AS215" i="5" s="1"/>
  <c r="AB257" i="5"/>
  <c r="AA200" i="5"/>
  <c r="AE92" i="4"/>
  <c r="AE136" i="4"/>
  <c r="AE49" i="4"/>
  <c r="X99" i="4"/>
  <c r="AJ99" i="4" s="1"/>
  <c r="X74" i="4"/>
  <c r="AJ74" i="4" s="1"/>
  <c r="AE55" i="4"/>
  <c r="X151" i="4"/>
  <c r="AJ151" i="4" s="1"/>
  <c r="AE106" i="4"/>
  <c r="B115" i="2"/>
  <c r="B96" i="2" s="1"/>
  <c r="B116" i="2" s="1"/>
  <c r="X81" i="4"/>
  <c r="AJ81" i="4" s="1"/>
  <c r="AE87" i="4"/>
  <c r="X117" i="4"/>
  <c r="AJ117" i="4" s="1"/>
  <c r="AE147" i="4"/>
  <c r="X80" i="4"/>
  <c r="AJ80" i="4" s="1"/>
  <c r="X124" i="4"/>
  <c r="AJ124" i="4" s="1"/>
  <c r="X122" i="4"/>
  <c r="AJ122" i="4" s="1"/>
  <c r="AE114" i="4"/>
  <c r="AF85" i="4"/>
  <c r="AG85" i="4" s="1"/>
  <c r="AI85" i="4" s="1"/>
  <c r="AE50" i="4"/>
  <c r="AE13" i="4"/>
  <c r="X65" i="4"/>
  <c r="AJ65" i="4" s="1"/>
  <c r="X82" i="4"/>
  <c r="AJ82" i="4" s="1"/>
  <c r="X13" i="4"/>
  <c r="AJ13" i="4" s="1"/>
  <c r="AE36" i="4"/>
  <c r="AE89" i="4"/>
  <c r="X85" i="4"/>
  <c r="AJ85" i="4" s="1"/>
  <c r="X89" i="4"/>
  <c r="AJ89" i="4" s="1"/>
  <c r="AE120" i="4"/>
  <c r="X51" i="4"/>
  <c r="AJ51" i="4" s="1"/>
  <c r="AF17" i="4"/>
  <c r="AG17" i="4" s="1"/>
  <c r="AI17" i="4" s="1"/>
  <c r="AF139" i="4"/>
  <c r="AO139" i="4" s="1"/>
  <c r="AF81" i="4"/>
  <c r="AG81" i="4" s="1"/>
  <c r="AI81" i="4" s="1"/>
  <c r="AF114" i="4"/>
  <c r="AO114" i="4" s="1"/>
  <c r="X41" i="4"/>
  <c r="AK41" i="4" s="1"/>
  <c r="AE97" i="4"/>
  <c r="X153" i="4"/>
  <c r="AJ153" i="4" s="1"/>
  <c r="X92" i="4"/>
  <c r="AJ92" i="4" s="1"/>
  <c r="X114" i="4"/>
  <c r="AJ114" i="4" s="1"/>
  <c r="AE117" i="4"/>
  <c r="AE41" i="4"/>
  <c r="AE17" i="4"/>
  <c r="AE33" i="4"/>
  <c r="AE113" i="4"/>
  <c r="X104" i="4"/>
  <c r="AK104" i="4" s="1"/>
  <c r="X25" i="4"/>
  <c r="AK25" i="4" s="1"/>
  <c r="X138" i="4"/>
  <c r="AJ138" i="4" s="1"/>
  <c r="X55" i="4"/>
  <c r="AJ55" i="4" s="1"/>
  <c r="AE80" i="4"/>
  <c r="X97" i="4"/>
  <c r="AJ97" i="4" s="1"/>
  <c r="X120" i="4"/>
  <c r="AJ120" i="4" s="1"/>
  <c r="AA98" i="4"/>
  <c r="AC98" i="4" s="1"/>
  <c r="AD98" i="4" s="1"/>
  <c r="AE151" i="4"/>
  <c r="X136" i="4"/>
  <c r="AJ136" i="4" s="1"/>
  <c r="Z120" i="4"/>
  <c r="X17" i="4"/>
  <c r="AJ17" i="4" s="1"/>
  <c r="B76" i="2"/>
  <c r="X113" i="4"/>
  <c r="AJ113" i="4" s="1"/>
  <c r="AG98" i="4"/>
  <c r="AI98" i="4" s="1"/>
  <c r="AO98" i="4"/>
  <c r="AG151" i="4"/>
  <c r="AI151" i="4" s="1"/>
  <c r="AO151" i="4"/>
  <c r="AG74" i="4"/>
  <c r="AI74" i="4" s="1"/>
  <c r="AO74" i="4"/>
  <c r="AG89" i="4"/>
  <c r="AI89" i="4" s="1"/>
  <c r="AO89" i="4"/>
  <c r="AG25" i="4"/>
  <c r="AI25" i="4" s="1"/>
  <c r="AO25" i="4"/>
  <c r="AG82" i="4"/>
  <c r="AI82" i="4" s="1"/>
  <c r="AO82" i="4"/>
  <c r="AF80" i="4"/>
  <c r="AF11" i="4"/>
  <c r="AG78" i="4"/>
  <c r="AI78" i="4" s="1"/>
  <c r="AO78" i="4"/>
  <c r="AQ484" i="5"/>
  <c r="AR484" i="5"/>
  <c r="AQ500" i="5"/>
  <c r="AR500" i="5"/>
  <c r="AR347" i="5"/>
  <c r="AQ347" i="5"/>
  <c r="AQ341" i="5"/>
  <c r="AR341" i="5"/>
  <c r="AQ409" i="5"/>
  <c r="AR409" i="5"/>
  <c r="AR61" i="5"/>
  <c r="AQ61" i="5"/>
  <c r="B81" i="2"/>
  <c r="B82" i="2" s="1"/>
  <c r="H22" i="1" s="1"/>
  <c r="AR102" i="5"/>
  <c r="AQ102" i="5"/>
  <c r="AR120" i="5"/>
  <c r="AQ120" i="5"/>
  <c r="X32" i="4"/>
  <c r="AQ53" i="5"/>
  <c r="AR53" i="5"/>
  <c r="AR515" i="5"/>
  <c r="AQ515" i="5"/>
  <c r="AQ293" i="5"/>
  <c r="AR293" i="5"/>
  <c r="AR559" i="5"/>
  <c r="AQ559" i="5"/>
  <c r="AE131" i="4"/>
  <c r="AR8" i="5"/>
  <c r="AQ8" i="5"/>
  <c r="AQ223" i="5"/>
  <c r="AR223" i="5"/>
  <c r="AF156" i="4"/>
  <c r="AQ200" i="5"/>
  <c r="AR200" i="5"/>
  <c r="AQ519" i="5"/>
  <c r="AR519" i="5"/>
  <c r="AQ106" i="5"/>
  <c r="AR106" i="5"/>
  <c r="AQ289" i="5"/>
  <c r="AR289" i="5"/>
  <c r="AR235" i="5"/>
  <c r="AQ235" i="5"/>
  <c r="AQ343" i="5"/>
  <c r="AR343" i="5"/>
  <c r="AR456" i="5"/>
  <c r="AQ456" i="5"/>
  <c r="AQ96" i="5"/>
  <c r="AR96" i="5"/>
  <c r="X106" i="4"/>
  <c r="AA106" i="4" s="1"/>
  <c r="AC106" i="4" s="1"/>
  <c r="AD106" i="4" s="1"/>
  <c r="AE85" i="4"/>
  <c r="AQ203" i="5"/>
  <c r="AR203" i="5"/>
  <c r="AR553" i="5"/>
  <c r="AQ553" i="5"/>
  <c r="AR151" i="5"/>
  <c r="AQ151" i="5"/>
  <c r="AQ424" i="5"/>
  <c r="AR424" i="5"/>
  <c r="AQ464" i="5"/>
  <c r="AR464" i="5"/>
  <c r="AQ320" i="5"/>
  <c r="AR320" i="5"/>
  <c r="AQ504" i="5"/>
  <c r="AR504" i="5"/>
  <c r="AQ137" i="5"/>
  <c r="AR137" i="5"/>
  <c r="AQ393" i="5"/>
  <c r="AR393" i="5"/>
  <c r="AR391" i="5"/>
  <c r="AQ391" i="5"/>
  <c r="AR268" i="5"/>
  <c r="AQ268" i="5"/>
  <c r="AQ400" i="5"/>
  <c r="AR400" i="5"/>
  <c r="AF154" i="4"/>
  <c r="AR303" i="5"/>
  <c r="AQ303" i="5"/>
  <c r="AQ32" i="5"/>
  <c r="AR32" i="5"/>
  <c r="AR523" i="5"/>
  <c r="AQ523" i="5"/>
  <c r="AF13" i="4"/>
  <c r="AR242" i="5"/>
  <c r="AQ242" i="5"/>
  <c r="X119" i="4"/>
  <c r="AA119" i="4" s="1"/>
  <c r="AC119" i="4" s="1"/>
  <c r="AD119" i="4" s="1"/>
  <c r="X49" i="4"/>
  <c r="AQ538" i="5"/>
  <c r="AR538" i="5"/>
  <c r="AQ505" i="5"/>
  <c r="AR505" i="5"/>
  <c r="AQ408" i="5"/>
  <c r="AR408" i="5"/>
  <c r="AQ468" i="5"/>
  <c r="AR468" i="5"/>
  <c r="AQ208" i="5"/>
  <c r="AR208" i="5"/>
  <c r="AE11" i="4"/>
  <c r="AR508" i="5"/>
  <c r="AQ508" i="5"/>
  <c r="AR532" i="5"/>
  <c r="AQ532" i="5"/>
  <c r="AR443" i="5"/>
  <c r="AQ443" i="5"/>
  <c r="AE153" i="4"/>
  <c r="AF33" i="4"/>
  <c r="AQ480" i="5"/>
  <c r="AR480" i="5"/>
  <c r="AR111" i="5"/>
  <c r="AQ111" i="5"/>
  <c r="AQ180" i="5"/>
  <c r="AR180" i="5"/>
  <c r="AR503" i="5"/>
  <c r="AQ503" i="5"/>
  <c r="AQ156" i="5"/>
  <c r="AR156" i="5"/>
  <c r="AR99" i="5"/>
  <c r="AQ99" i="5"/>
  <c r="AQ358" i="5"/>
  <c r="AR358" i="5"/>
  <c r="AQ439" i="5"/>
  <c r="AR439" i="5"/>
  <c r="AQ509" i="5"/>
  <c r="AR509" i="5"/>
  <c r="AQ230" i="5"/>
  <c r="AR230" i="5"/>
  <c r="AR115" i="5"/>
  <c r="AQ115" i="5"/>
  <c r="AQ256" i="5"/>
  <c r="AR256" i="5"/>
  <c r="AR546" i="5"/>
  <c r="AQ546" i="5"/>
  <c r="AQ207" i="5"/>
  <c r="AR207" i="5"/>
  <c r="AE90" i="4"/>
  <c r="AQ466" i="5"/>
  <c r="AR466" i="5"/>
  <c r="Y13" i="5"/>
  <c r="X13" i="5"/>
  <c r="AO112" i="4"/>
  <c r="AG112" i="4"/>
  <c r="AI112" i="4" s="1"/>
  <c r="AR265" i="5"/>
  <c r="AQ265" i="5"/>
  <c r="AR107" i="5"/>
  <c r="AQ107" i="5"/>
  <c r="AQ367" i="5"/>
  <c r="AR367" i="5"/>
  <c r="AR286" i="5"/>
  <c r="AQ286" i="5"/>
  <c r="AQ228" i="5"/>
  <c r="AR228" i="5"/>
  <c r="AR266" i="5"/>
  <c r="AQ266" i="5"/>
  <c r="AR248" i="5"/>
  <c r="AQ248" i="5"/>
  <c r="AR168" i="5"/>
  <c r="AQ168" i="5"/>
  <c r="AR427" i="5"/>
  <c r="AQ427" i="5"/>
  <c r="AG36" i="4"/>
  <c r="AI36" i="4" s="1"/>
  <c r="AO36" i="4"/>
  <c r="AQ399" i="5"/>
  <c r="AR399" i="5"/>
  <c r="AR164" i="5"/>
  <c r="AQ164" i="5"/>
  <c r="AQ329" i="5"/>
  <c r="AR329" i="5"/>
  <c r="AR63" i="5"/>
  <c r="AQ63" i="5"/>
  <c r="AR123" i="5"/>
  <c r="AQ123" i="5"/>
  <c r="AQ534" i="5"/>
  <c r="AR534" i="5"/>
  <c r="AR376" i="5"/>
  <c r="AQ376" i="5"/>
  <c r="AR28" i="5"/>
  <c r="AQ28" i="5"/>
  <c r="AQ526" i="5"/>
  <c r="AR526" i="5"/>
  <c r="AQ472" i="5"/>
  <c r="AR472" i="5"/>
  <c r="AR275" i="5"/>
  <c r="AQ275" i="5"/>
  <c r="AR198" i="5"/>
  <c r="AQ198" i="5"/>
  <c r="AG136" i="4"/>
  <c r="AI136" i="4" s="1"/>
  <c r="AO136" i="4"/>
  <c r="AQ482" i="5"/>
  <c r="AR482" i="5"/>
  <c r="AQ75" i="5"/>
  <c r="AR75" i="5"/>
  <c r="AQ170" i="5"/>
  <c r="AR170" i="5"/>
  <c r="AQ139" i="5"/>
  <c r="AR139" i="5"/>
  <c r="AG41" i="4"/>
  <c r="AI41" i="4" s="1"/>
  <c r="AO41" i="4"/>
  <c r="AQ529" i="5"/>
  <c r="AR529" i="5"/>
  <c r="AE115" i="4"/>
  <c r="AQ403" i="5"/>
  <c r="AR403" i="5"/>
  <c r="AR389" i="5"/>
  <c r="AQ389" i="5"/>
  <c r="AR352" i="5"/>
  <c r="AQ352" i="5"/>
  <c r="AR555" i="5"/>
  <c r="AQ555" i="5"/>
  <c r="AR366" i="5"/>
  <c r="AQ366" i="5"/>
  <c r="X156" i="4"/>
  <c r="AA156" i="4" s="1"/>
  <c r="AC156" i="4" s="1"/>
  <c r="AD156" i="4" s="1"/>
  <c r="AQ458" i="5"/>
  <c r="AR458" i="5"/>
  <c r="AQ297" i="5"/>
  <c r="AR297" i="5"/>
  <c r="AQ84" i="5"/>
  <c r="AR84" i="5"/>
  <c r="AQ249" i="5"/>
  <c r="AR249" i="5"/>
  <c r="AR27" i="5"/>
  <c r="AQ27" i="5"/>
  <c r="AQ271" i="5"/>
  <c r="AR271" i="5"/>
  <c r="X16" i="4"/>
  <c r="AJ16" i="4" s="1"/>
  <c r="AQ294" i="5"/>
  <c r="AR294" i="5"/>
  <c r="AE81" i="4"/>
  <c r="AR149" i="5"/>
  <c r="AQ149" i="5"/>
  <c r="AR197" i="5"/>
  <c r="AQ197" i="5"/>
  <c r="AR52" i="5"/>
  <c r="AQ52" i="5"/>
  <c r="AQ373" i="5"/>
  <c r="AR373" i="5"/>
  <c r="AQ469" i="5"/>
  <c r="AR469" i="5"/>
  <c r="AR253" i="5"/>
  <c r="AQ253" i="5"/>
  <c r="AR100" i="5"/>
  <c r="AQ100" i="5"/>
  <c r="AL13" i="5"/>
  <c r="AK13" i="5"/>
  <c r="AQ76" i="5"/>
  <c r="AR76" i="5"/>
  <c r="AF153" i="4"/>
  <c r="AR224" i="5"/>
  <c r="AQ224" i="5"/>
  <c r="AQ55" i="5"/>
  <c r="AR55" i="5"/>
  <c r="AQ336" i="5"/>
  <c r="AR336" i="5"/>
  <c r="AR288" i="5"/>
  <c r="AQ288" i="5"/>
  <c r="AF50" i="4"/>
  <c r="AE107" i="4"/>
  <c r="AR85" i="5"/>
  <c r="AQ85" i="5"/>
  <c r="AR501" i="5"/>
  <c r="AQ501" i="5"/>
  <c r="AQ251" i="5"/>
  <c r="AR251" i="5"/>
  <c r="AQ236" i="5"/>
  <c r="AR236" i="5"/>
  <c r="AR243" i="5"/>
  <c r="AQ243" i="5"/>
  <c r="AR471" i="5"/>
  <c r="AQ471" i="5"/>
  <c r="AQ435" i="5"/>
  <c r="AR435" i="5"/>
  <c r="AQ213" i="5"/>
  <c r="AR213" i="5"/>
  <c r="AQ513" i="5"/>
  <c r="AR513" i="5"/>
  <c r="AE32" i="4"/>
  <c r="AR334" i="5"/>
  <c r="AQ334" i="5"/>
  <c r="AQ395" i="5"/>
  <c r="AR395" i="5"/>
  <c r="AO13" i="5"/>
  <c r="AN13" i="5"/>
  <c r="AQ323" i="5"/>
  <c r="AR323" i="5"/>
  <c r="AR292" i="5"/>
  <c r="AQ292" i="5"/>
  <c r="AQ499" i="5"/>
  <c r="AR499" i="5"/>
  <c r="Z32" i="4"/>
  <c r="AQ33" i="5"/>
  <c r="AR33" i="5"/>
  <c r="AR331" i="5"/>
  <c r="AQ331" i="5"/>
  <c r="AQ537" i="5"/>
  <c r="AR537" i="5"/>
  <c r="AQ91" i="5"/>
  <c r="AR91" i="5"/>
  <c r="AQ161" i="5"/>
  <c r="AR161" i="5"/>
  <c r="AQ163" i="5"/>
  <c r="AR163" i="5"/>
  <c r="AQ272" i="5"/>
  <c r="AR272" i="5"/>
  <c r="AR31" i="5"/>
  <c r="AQ31" i="5"/>
  <c r="AQ349" i="5"/>
  <c r="AR349" i="5"/>
  <c r="AQ206" i="5"/>
  <c r="AR206" i="5"/>
  <c r="AR425" i="5"/>
  <c r="AQ425" i="5"/>
  <c r="AQ195" i="5"/>
  <c r="AR195" i="5"/>
  <c r="AQ29" i="5"/>
  <c r="AR29" i="5"/>
  <c r="AR108" i="5"/>
  <c r="AQ108" i="5"/>
  <c r="AR41" i="5"/>
  <c r="AQ41" i="5"/>
  <c r="AF56" i="4"/>
  <c r="X110" i="4"/>
  <c r="AA110" i="4" s="1"/>
  <c r="AC110" i="4" s="1"/>
  <c r="AD110" i="4" s="1"/>
  <c r="X121" i="4"/>
  <c r="AA121" i="4" s="1"/>
  <c r="AC121" i="4" s="1"/>
  <c r="AD121" i="4" s="1"/>
  <c r="X115" i="4"/>
  <c r="AF107" i="4"/>
  <c r="AR449" i="5"/>
  <c r="AQ449" i="5"/>
  <c r="AQ473" i="5"/>
  <c r="AR473" i="5"/>
  <c r="AQ136" i="5"/>
  <c r="AR136" i="5"/>
  <c r="AQ441" i="5"/>
  <c r="AR441" i="5"/>
  <c r="AQ361" i="5"/>
  <c r="AR361" i="5"/>
  <c r="AQ430" i="5"/>
  <c r="AR430" i="5"/>
  <c r="AR113" i="5"/>
  <c r="AQ113" i="5"/>
  <c r="AR240" i="5"/>
  <c r="AQ240" i="5"/>
  <c r="AQ285" i="5"/>
  <c r="AR285" i="5"/>
  <c r="AQ263" i="5"/>
  <c r="AR263" i="5"/>
  <c r="AR154" i="5"/>
  <c r="AQ154" i="5"/>
  <c r="AQ124" i="5"/>
  <c r="AR124" i="5"/>
  <c r="X11" i="4"/>
  <c r="AJ11" i="4" s="1"/>
  <c r="AR40" i="5"/>
  <c r="AQ40" i="5"/>
  <c r="Z131" i="4"/>
  <c r="AF131" i="4" s="1"/>
  <c r="AR363" i="5"/>
  <c r="AQ363" i="5"/>
  <c r="AB13" i="5"/>
  <c r="AA13" i="5"/>
  <c r="AQ549" i="5"/>
  <c r="AR549" i="5"/>
  <c r="X146" i="4"/>
  <c r="AA146" i="4" s="1"/>
  <c r="AC146" i="4" s="1"/>
  <c r="AD146" i="4" s="1"/>
  <c r="AE104" i="4"/>
  <c r="AQ446" i="5"/>
  <c r="AR446" i="5"/>
  <c r="AR543" i="5"/>
  <c r="AQ543" i="5"/>
  <c r="AF138" i="4"/>
  <c r="AF122" i="4"/>
  <c r="AE124" i="4"/>
  <c r="AQ414" i="5"/>
  <c r="AR414" i="5"/>
  <c r="AQ407" i="5"/>
  <c r="AR407" i="5"/>
  <c r="AR215" i="5"/>
  <c r="AQ215" i="5"/>
  <c r="AE154" i="4"/>
  <c r="AQ431" i="5"/>
  <c r="AR431" i="5"/>
  <c r="AR7" i="5"/>
  <c r="AQ7" i="5"/>
  <c r="Z90" i="4"/>
  <c r="AF90" i="4" s="1"/>
  <c r="AR369" i="5"/>
  <c r="AQ369" i="5"/>
  <c r="AR177" i="5"/>
  <c r="AQ177" i="5"/>
  <c r="AR46" i="5"/>
  <c r="AQ46" i="5"/>
  <c r="AR80" i="5"/>
  <c r="AQ80" i="5"/>
  <c r="AQ362" i="5"/>
  <c r="AR362" i="5"/>
  <c r="AE65" i="4"/>
  <c r="AR411" i="5"/>
  <c r="AQ411" i="5"/>
  <c r="AQ97" i="5"/>
  <c r="AR97" i="5"/>
  <c r="AQ90" i="5"/>
  <c r="AR90" i="5"/>
  <c r="AQ19" i="5"/>
  <c r="AR19" i="5"/>
  <c r="AR308" i="5"/>
  <c r="AQ308" i="5"/>
  <c r="AQ188" i="5"/>
  <c r="AR188" i="5"/>
  <c r="AE110" i="4"/>
  <c r="AR121" i="5"/>
  <c r="AQ121" i="5"/>
  <c r="AQ241" i="5"/>
  <c r="AR241" i="5"/>
  <c r="X42" i="4"/>
  <c r="AQ311" i="5"/>
  <c r="AR311" i="5"/>
  <c r="AR193" i="5"/>
  <c r="AQ193" i="5"/>
  <c r="AQ445" i="5"/>
  <c r="AR445" i="5"/>
  <c r="S13" i="5"/>
  <c r="R13" i="5"/>
  <c r="AQ269" i="5"/>
  <c r="AR269" i="5"/>
  <c r="AQ209" i="5"/>
  <c r="AR209" i="5"/>
  <c r="AQ433" i="5"/>
  <c r="AR433" i="5"/>
  <c r="AQ412" i="5"/>
  <c r="AR412" i="5"/>
  <c r="AR12" i="5"/>
  <c r="AQ12" i="5"/>
  <c r="AQ322" i="5"/>
  <c r="AR322" i="5"/>
  <c r="AR514" i="5"/>
  <c r="AQ514" i="5"/>
  <c r="AE112" i="4"/>
  <c r="AE78" i="4"/>
  <c r="Z113" i="4"/>
  <c r="AF113" i="4" s="1"/>
  <c r="AR152" i="5"/>
  <c r="AQ152" i="5"/>
  <c r="AQ95" i="5"/>
  <c r="AR95" i="5"/>
  <c r="AR479" i="5"/>
  <c r="AQ479" i="5"/>
  <c r="AQ502" i="5"/>
  <c r="AR502" i="5"/>
  <c r="AQ518" i="5"/>
  <c r="AR518" i="5"/>
  <c r="AQ167" i="5"/>
  <c r="AR167" i="5"/>
  <c r="AE42" i="4"/>
  <c r="AF28" i="4"/>
  <c r="AQ442" i="5"/>
  <c r="AR442" i="5"/>
  <c r="AQ59" i="5"/>
  <c r="AR59" i="5"/>
  <c r="AR277" i="5"/>
  <c r="AQ277" i="5"/>
  <c r="AQ221" i="5"/>
  <c r="AR221" i="5"/>
  <c r="AQ310" i="5"/>
  <c r="AR310" i="5"/>
  <c r="AQ204" i="5"/>
  <c r="AR204" i="5"/>
  <c r="AR375" i="5"/>
  <c r="AQ375" i="5"/>
  <c r="AR507" i="5"/>
  <c r="AQ507" i="5"/>
  <c r="AQ191" i="5"/>
  <c r="AR191" i="5"/>
  <c r="AR298" i="5"/>
  <c r="AQ298" i="5"/>
  <c r="AQ357" i="5"/>
  <c r="AR357" i="5"/>
  <c r="AR309" i="5"/>
  <c r="AQ309" i="5"/>
  <c r="AQ478" i="5"/>
  <c r="AR478" i="5"/>
  <c r="AR89" i="5"/>
  <c r="AQ89" i="5"/>
  <c r="AR174" i="5"/>
  <c r="AQ174" i="5"/>
  <c r="AE56" i="4"/>
  <c r="AR385" i="5"/>
  <c r="AQ385" i="5"/>
  <c r="AR342" i="5"/>
  <c r="AQ342" i="5"/>
  <c r="AR186" i="5"/>
  <c r="AQ186" i="5"/>
  <c r="AQ282" i="5"/>
  <c r="AR282" i="5"/>
  <c r="AR57" i="5"/>
  <c r="AQ57" i="5"/>
  <c r="AQ440" i="5"/>
  <c r="AR440" i="5"/>
  <c r="AE88" i="4"/>
  <c r="AQ264" i="5"/>
  <c r="AR264" i="5"/>
  <c r="AQ467" i="5"/>
  <c r="AR467" i="5"/>
  <c r="AR162" i="5"/>
  <c r="AQ162" i="5"/>
  <c r="AQ419" i="5"/>
  <c r="AR419" i="5"/>
  <c r="AF121" i="4"/>
  <c r="AF88" i="4"/>
  <c r="AE16" i="4"/>
  <c r="AR295" i="5"/>
  <c r="AQ295" i="5"/>
  <c r="X139" i="4"/>
  <c r="AA139" i="4" s="1"/>
  <c r="AC139" i="4" s="1"/>
  <c r="AD139" i="4" s="1"/>
  <c r="X107" i="4"/>
  <c r="AA107" i="4" s="1"/>
  <c r="AC107" i="4" s="1"/>
  <c r="AD107" i="4" s="1"/>
  <c r="AR116" i="5"/>
  <c r="AQ116" i="5"/>
  <c r="AR145" i="5"/>
  <c r="AQ145" i="5"/>
  <c r="AQ453" i="5"/>
  <c r="AR453" i="5"/>
  <c r="AQ220" i="5"/>
  <c r="AR220" i="5"/>
  <c r="AQ279" i="5"/>
  <c r="AR279" i="5"/>
  <c r="X147" i="4"/>
  <c r="AA147" i="4" s="1"/>
  <c r="AC147" i="4" s="1"/>
  <c r="AD147" i="4" s="1"/>
  <c r="AR128" i="5"/>
  <c r="AQ128" i="5"/>
  <c r="AQ415" i="5"/>
  <c r="AR415" i="5"/>
  <c r="X87" i="4"/>
  <c r="AA87" i="4" s="1"/>
  <c r="AC87" i="4" s="1"/>
  <c r="AD87" i="4" s="1"/>
  <c r="AQ328" i="5"/>
  <c r="AR328" i="5"/>
  <c r="AQ160" i="5"/>
  <c r="AR160" i="5"/>
  <c r="AH13" i="5"/>
  <c r="AP13" i="5"/>
  <c r="AI13" i="5"/>
  <c r="AQ475" i="5"/>
  <c r="AR475" i="5"/>
  <c r="AE119" i="4"/>
  <c r="AQ423" i="5"/>
  <c r="AR423" i="5"/>
  <c r="X154" i="4"/>
  <c r="AA154" i="4" s="1"/>
  <c r="AC154" i="4" s="1"/>
  <c r="AD154" i="4" s="1"/>
  <c r="AF146" i="4"/>
  <c r="X149" i="4"/>
  <c r="AQ35" i="5"/>
  <c r="AR35" i="5"/>
  <c r="AR155" i="5"/>
  <c r="AQ155" i="5"/>
  <c r="AQ351" i="5"/>
  <c r="AR351" i="5"/>
  <c r="AR114" i="5"/>
  <c r="AQ114" i="5"/>
  <c r="AR179" i="5"/>
  <c r="AQ179" i="5"/>
  <c r="AQ344" i="5"/>
  <c r="AR344" i="5"/>
  <c r="X78" i="4"/>
  <c r="AA78" i="4" s="1"/>
  <c r="AC78" i="4" s="1"/>
  <c r="AD78" i="4" s="1"/>
  <c r="X50" i="4"/>
  <c r="AA50" i="4" s="1"/>
  <c r="AC50" i="4" s="1"/>
  <c r="AD50" i="4" s="1"/>
  <c r="AE149" i="4"/>
  <c r="AQ459" i="5"/>
  <c r="AR459" i="5"/>
  <c r="AR172" i="5"/>
  <c r="AQ172" i="5"/>
  <c r="AR315" i="5"/>
  <c r="AQ315" i="5"/>
  <c r="AR196" i="5"/>
  <c r="AQ196" i="5"/>
  <c r="AQ325" i="5"/>
  <c r="AR325" i="5"/>
  <c r="AQ452" i="5"/>
  <c r="AR452" i="5"/>
  <c r="AR353" i="5"/>
  <c r="AQ353" i="5"/>
  <c r="AE139" i="4"/>
  <c r="AR68" i="5"/>
  <c r="AQ68" i="5"/>
  <c r="AQ62" i="5"/>
  <c r="AR62" i="5"/>
  <c r="AE99" i="4"/>
  <c r="X33" i="4"/>
  <c r="AA33" i="4" s="1"/>
  <c r="AC33" i="4" s="1"/>
  <c r="AD33" i="4" s="1"/>
  <c r="AQ299" i="5"/>
  <c r="AR299" i="5"/>
  <c r="AQ171" i="5"/>
  <c r="AR171" i="5"/>
  <c r="AR246" i="5"/>
  <c r="AQ246" i="5"/>
  <c r="AQ183" i="5"/>
  <c r="AR183" i="5"/>
  <c r="AR125" i="5"/>
  <c r="AQ125" i="5"/>
  <c r="AQ50" i="5"/>
  <c r="AR50" i="5"/>
  <c r="AQ67" i="5"/>
  <c r="AR67" i="5"/>
  <c r="AQ74" i="5"/>
  <c r="AR74" i="5"/>
  <c r="AQ132" i="5"/>
  <c r="AR132" i="5"/>
  <c r="AQ455" i="5"/>
  <c r="AR455" i="5"/>
  <c r="AR83" i="5"/>
  <c r="AQ83" i="5"/>
  <c r="AQ316" i="5"/>
  <c r="AR316" i="5"/>
  <c r="AQ490" i="5"/>
  <c r="AR490" i="5"/>
  <c r="AJ98" i="4"/>
  <c r="AK98" i="4"/>
  <c r="AE121" i="4"/>
  <c r="AR421" i="5"/>
  <c r="AQ421" i="5"/>
  <c r="AQ231" i="5"/>
  <c r="AR231" i="5"/>
  <c r="AR317" i="5"/>
  <c r="AQ317" i="5"/>
  <c r="AR319" i="5"/>
  <c r="AQ319" i="5"/>
  <c r="X56" i="4"/>
  <c r="AA56" i="4" s="1"/>
  <c r="AC56" i="4" s="1"/>
  <c r="AD56" i="4" s="1"/>
  <c r="X88" i="4"/>
  <c r="AA88" i="4" s="1"/>
  <c r="AC88" i="4" s="1"/>
  <c r="AD88" i="4" s="1"/>
  <c r="AQ280" i="5"/>
  <c r="AR280" i="5"/>
  <c r="AF104" i="4"/>
  <c r="AQ36" i="5"/>
  <c r="AR36" i="5"/>
  <c r="AR550" i="5"/>
  <c r="AQ550" i="5"/>
  <c r="AQ401" i="5"/>
  <c r="AR401" i="5"/>
  <c r="AR150" i="5"/>
  <c r="AQ150" i="5"/>
  <c r="AQ122" i="5"/>
  <c r="AR122" i="5"/>
  <c r="AF147" i="4"/>
  <c r="AQ339" i="5"/>
  <c r="AR339" i="5"/>
  <c r="AQ254" i="5"/>
  <c r="AR254" i="5"/>
  <c r="AR547" i="5"/>
  <c r="AQ547" i="5"/>
  <c r="AR413" i="5"/>
  <c r="AQ413" i="5"/>
  <c r="AQ511" i="5"/>
  <c r="AR511" i="5"/>
  <c r="AR10" i="5"/>
  <c r="AQ10" i="5"/>
  <c r="AF124" i="4"/>
  <c r="X131" i="4"/>
  <c r="AQ481" i="5"/>
  <c r="AR481" i="5"/>
  <c r="U13" i="5"/>
  <c r="V13" i="5"/>
  <c r="AC13" i="5"/>
  <c r="AR247" i="5"/>
  <c r="AQ247" i="5"/>
  <c r="AR86" i="5"/>
  <c r="AQ86" i="5"/>
  <c r="AR98" i="5"/>
  <c r="AQ98" i="5"/>
  <c r="AQ201" i="5"/>
  <c r="AR201" i="5"/>
  <c r="AE138" i="4"/>
  <c r="X112" i="4"/>
  <c r="AA112" i="4" s="1"/>
  <c r="AC112" i="4" s="1"/>
  <c r="AD112" i="4" s="1"/>
  <c r="AF99" i="4"/>
  <c r="AE156" i="4"/>
  <c r="H34" i="1"/>
  <c r="B145" i="2"/>
  <c r="H35" i="1" s="1"/>
  <c r="AQ60" i="5"/>
  <c r="AR60" i="5"/>
  <c r="AQ429" i="5"/>
  <c r="AR429" i="5"/>
  <c r="AR377" i="5"/>
  <c r="AQ377" i="5"/>
  <c r="AQ554" i="5"/>
  <c r="AR554" i="5"/>
  <c r="X36" i="4"/>
  <c r="AA36" i="4" s="1"/>
  <c r="AC36" i="4" s="1"/>
  <c r="AD36" i="4" s="1"/>
  <c r="AF119" i="4"/>
  <c r="AQ489" i="5"/>
  <c r="AR489" i="5"/>
  <c r="AQ541" i="5"/>
  <c r="AR541" i="5"/>
  <c r="AR88" i="5"/>
  <c r="AQ88" i="5"/>
  <c r="AQ305" i="5"/>
  <c r="AR305" i="5"/>
  <c r="AF92" i="4"/>
  <c r="AR44" i="5"/>
  <c r="AQ44" i="5"/>
  <c r="AR39" i="5"/>
  <c r="AQ39" i="5"/>
  <c r="AQ73" i="5"/>
  <c r="AR73" i="5"/>
  <c r="AQ374" i="5"/>
  <c r="AR374" i="5"/>
  <c r="AE25" i="4"/>
  <c r="AE74" i="4"/>
  <c r="AQ416" i="5"/>
  <c r="AR416" i="5"/>
  <c r="X90" i="4"/>
  <c r="X43" i="4"/>
  <c r="AQ388" i="5"/>
  <c r="AR388" i="5"/>
  <c r="AR185" i="5"/>
  <c r="AQ185" i="5"/>
  <c r="AR49" i="5"/>
  <c r="AQ49" i="5"/>
  <c r="AR71" i="5"/>
  <c r="AQ71" i="5"/>
  <c r="X28" i="4"/>
  <c r="AA28" i="4" s="1"/>
  <c r="AC28" i="4" s="1"/>
  <c r="AD28" i="4" s="1"/>
  <c r="AF51" i="4"/>
  <c r="AG9" i="4" l="1"/>
  <c r="AI9" i="4" s="1"/>
  <c r="X60" i="4"/>
  <c r="AJ60" i="4" s="1"/>
  <c r="Y68" i="4"/>
  <c r="Z68" i="4" s="1"/>
  <c r="AF68" i="4" s="1"/>
  <c r="AG68" i="4" s="1"/>
  <c r="AI68" i="4" s="1"/>
  <c r="AE68" i="4"/>
  <c r="Y64" i="4"/>
  <c r="Z64" i="4" s="1"/>
  <c r="AK64" i="4" s="1"/>
  <c r="AE9" i="4"/>
  <c r="X9" i="4"/>
  <c r="AJ9" i="4" s="1"/>
  <c r="AE29" i="4"/>
  <c r="X53" i="4"/>
  <c r="AA53" i="4" s="1"/>
  <c r="AC53" i="4" s="1"/>
  <c r="AD53" i="4" s="1"/>
  <c r="AE64" i="4"/>
  <c r="AE118" i="4"/>
  <c r="X29" i="4"/>
  <c r="AA29" i="4" s="1"/>
  <c r="AC29" i="4" s="1"/>
  <c r="AD29" i="4" s="1"/>
  <c r="AE60" i="4"/>
  <c r="AG31" i="4"/>
  <c r="AI31" i="4" s="1"/>
  <c r="AE31" i="4"/>
  <c r="X63" i="4"/>
  <c r="AJ63" i="4" s="1"/>
  <c r="Y63" i="4"/>
  <c r="Z63" i="4" s="1"/>
  <c r="AG53" i="4"/>
  <c r="AI53" i="4" s="1"/>
  <c r="AE102" i="4"/>
  <c r="X102" i="4"/>
  <c r="AJ102" i="4" s="1"/>
  <c r="AO71" i="4"/>
  <c r="X31" i="4"/>
  <c r="AA31" i="4" s="1"/>
  <c r="AC31" i="4" s="1"/>
  <c r="AD31" i="4" s="1"/>
  <c r="X118" i="4"/>
  <c r="AA118" i="4" s="1"/>
  <c r="AC118" i="4" s="1"/>
  <c r="AD118" i="4" s="1"/>
  <c r="AF118" i="4"/>
  <c r="AG118" i="4" s="1"/>
  <c r="AI118" i="4" s="1"/>
  <c r="AE38" i="4"/>
  <c r="Y38" i="4"/>
  <c r="Z38" i="4" s="1"/>
  <c r="AF38" i="4" s="1"/>
  <c r="AA49" i="4"/>
  <c r="AC49" i="4" s="1"/>
  <c r="AD49" i="4" s="1"/>
  <c r="AO102" i="4"/>
  <c r="AG102" i="4"/>
  <c r="AI102" i="4" s="1"/>
  <c r="X95" i="4"/>
  <c r="AJ95" i="4" s="1"/>
  <c r="AE95" i="4"/>
  <c r="AE48" i="4"/>
  <c r="Y91" i="4"/>
  <c r="Z91" i="4" s="1"/>
  <c r="AA91" i="4" s="1"/>
  <c r="AC91" i="4" s="1"/>
  <c r="AD91" i="4" s="1"/>
  <c r="AE53" i="4"/>
  <c r="AG106" i="4"/>
  <c r="AI106" i="4" s="1"/>
  <c r="AR106" i="4" s="1"/>
  <c r="AT106" i="4" s="1"/>
  <c r="X48" i="4"/>
  <c r="AK48" i="4" s="1"/>
  <c r="AE123" i="4"/>
  <c r="AE91" i="4"/>
  <c r="Y100" i="4"/>
  <c r="Z100" i="4" s="1"/>
  <c r="AF100" i="4" s="1"/>
  <c r="X123" i="4"/>
  <c r="AJ123" i="4" s="1"/>
  <c r="AE100" i="4"/>
  <c r="AE30" i="4"/>
  <c r="AO30" i="4"/>
  <c r="X30" i="4"/>
  <c r="AJ30" i="4" s="1"/>
  <c r="X75" i="4"/>
  <c r="AJ75" i="4" s="1"/>
  <c r="AD523" i="5"/>
  <c r="AE75" i="4"/>
  <c r="X7" i="4"/>
  <c r="AJ7" i="4" s="1"/>
  <c r="AD459" i="5"/>
  <c r="AS459" i="5"/>
  <c r="AT459" i="5" s="1"/>
  <c r="Y7" i="4"/>
  <c r="Z7" i="4" s="1"/>
  <c r="AF7" i="4" s="1"/>
  <c r="AD265" i="5"/>
  <c r="AG87" i="4"/>
  <c r="AI87" i="4" s="1"/>
  <c r="AR87" i="4" s="1"/>
  <c r="AT87" i="4" s="1"/>
  <c r="AE86" i="4"/>
  <c r="X86" i="4"/>
  <c r="AJ86" i="4" s="1"/>
  <c r="Y127" i="4"/>
  <c r="Z127" i="4" s="1"/>
  <c r="AF127" i="4" s="1"/>
  <c r="AE127" i="4"/>
  <c r="X18" i="4"/>
  <c r="AJ18" i="4" s="1"/>
  <c r="AE221" i="5"/>
  <c r="AD221" i="5"/>
  <c r="AE206" i="5"/>
  <c r="Y76" i="4"/>
  <c r="Z76" i="4" s="1"/>
  <c r="AK76" i="4" s="1"/>
  <c r="AD206" i="5"/>
  <c r="AE76" i="4"/>
  <c r="AE18" i="4"/>
  <c r="AS522" i="5"/>
  <c r="AU522" i="5" s="1"/>
  <c r="AE522" i="5"/>
  <c r="AD371" i="5"/>
  <c r="AS371" i="5"/>
  <c r="AU371" i="5" s="1"/>
  <c r="AS512" i="5"/>
  <c r="AT512" i="5" s="1"/>
  <c r="AS264" i="5"/>
  <c r="AU264" i="5" s="1"/>
  <c r="Y35" i="4"/>
  <c r="Z35" i="4" s="1"/>
  <c r="AF35" i="4" s="1"/>
  <c r="AE35" i="4"/>
  <c r="AS525" i="5"/>
  <c r="AT525" i="5" s="1"/>
  <c r="AE512" i="5"/>
  <c r="AG18" i="4"/>
  <c r="AI18" i="4" s="1"/>
  <c r="AO18" i="4"/>
  <c r="AS523" i="5"/>
  <c r="AU523" i="5" s="1"/>
  <c r="AD80" i="5"/>
  <c r="AD525" i="5"/>
  <c r="AE80" i="5"/>
  <c r="AD105" i="5"/>
  <c r="AE546" i="5"/>
  <c r="AS546" i="5"/>
  <c r="AU546" i="5" s="1"/>
  <c r="AD537" i="5"/>
  <c r="AS379" i="5"/>
  <c r="AT379" i="5" s="1"/>
  <c r="AS537" i="5"/>
  <c r="AT537" i="5" s="1"/>
  <c r="AD379" i="5"/>
  <c r="AE117" i="5"/>
  <c r="AE234" i="5"/>
  <c r="AS234" i="5"/>
  <c r="AU234" i="5" s="1"/>
  <c r="AD392" i="5"/>
  <c r="AS446" i="5"/>
  <c r="AT446" i="5" s="1"/>
  <c r="AD26" i="5"/>
  <c r="AD121" i="5"/>
  <c r="AD254" i="5"/>
  <c r="AD160" i="5"/>
  <c r="AE121" i="5"/>
  <c r="AE446" i="5"/>
  <c r="AE392" i="5"/>
  <c r="AE160" i="5"/>
  <c r="AS376" i="5"/>
  <c r="AU376" i="5" s="1"/>
  <c r="AD429" i="5"/>
  <c r="AE432" i="5"/>
  <c r="AE429" i="5"/>
  <c r="AD432" i="5"/>
  <c r="AE426" i="5"/>
  <c r="AS23" i="5"/>
  <c r="AT23" i="5" s="1"/>
  <c r="AS426" i="5"/>
  <c r="AT426" i="5" s="1"/>
  <c r="Y37" i="4"/>
  <c r="Z37" i="4" s="1"/>
  <c r="AA37" i="4" s="1"/>
  <c r="AC37" i="4" s="1"/>
  <c r="AD37" i="4" s="1"/>
  <c r="AE23" i="5"/>
  <c r="AE534" i="5"/>
  <c r="AS534" i="5"/>
  <c r="AT534" i="5" s="1"/>
  <c r="AS530" i="5"/>
  <c r="AU530" i="5" s="1"/>
  <c r="AE530" i="5"/>
  <c r="X145" i="4"/>
  <c r="AJ145" i="4" s="1"/>
  <c r="AE145" i="4"/>
  <c r="AE376" i="5"/>
  <c r="AS105" i="5"/>
  <c r="AU105" i="5" s="1"/>
  <c r="AD264" i="5"/>
  <c r="AD508" i="5"/>
  <c r="AD417" i="5"/>
  <c r="AD422" i="5"/>
  <c r="AS483" i="5"/>
  <c r="AU483" i="5" s="1"/>
  <c r="AS508" i="5"/>
  <c r="AU508" i="5" s="1"/>
  <c r="AE289" i="5"/>
  <c r="AD232" i="5"/>
  <c r="AE483" i="5"/>
  <c r="AE279" i="5"/>
  <c r="AE254" i="5"/>
  <c r="AE232" i="5"/>
  <c r="AD500" i="5"/>
  <c r="AD279" i="5"/>
  <c r="X66" i="4"/>
  <c r="AJ66" i="4" s="1"/>
  <c r="AE422" i="5"/>
  <c r="AS532" i="5"/>
  <c r="AT532" i="5" s="1"/>
  <c r="AS200" i="5"/>
  <c r="AT200" i="5" s="1"/>
  <c r="AE500" i="5"/>
  <c r="AS26" i="5"/>
  <c r="AT26" i="5" s="1"/>
  <c r="AE532" i="5"/>
  <c r="AD479" i="5"/>
  <c r="AS289" i="5"/>
  <c r="AT289" i="5" s="1"/>
  <c r="AE14" i="4"/>
  <c r="AS469" i="5"/>
  <c r="AU469" i="5" s="1"/>
  <c r="AD469" i="5"/>
  <c r="AE417" i="5"/>
  <c r="AS243" i="5"/>
  <c r="AU243" i="5" s="1"/>
  <c r="AS345" i="5"/>
  <c r="AT345" i="5" s="1"/>
  <c r="AD117" i="5"/>
  <c r="AS97" i="5"/>
  <c r="AT97" i="5" s="1"/>
  <c r="AS463" i="5"/>
  <c r="AU463" i="5" s="1"/>
  <c r="AE97" i="5"/>
  <c r="K36" i="2"/>
  <c r="L36" i="2"/>
  <c r="X46" i="4"/>
  <c r="AK46" i="4" s="1"/>
  <c r="AE15" i="4"/>
  <c r="AO46" i="4"/>
  <c r="AE37" i="4"/>
  <c r="AS265" i="5"/>
  <c r="AT265" i="5" s="1"/>
  <c r="AE520" i="5"/>
  <c r="AD520" i="5"/>
  <c r="AS184" i="5"/>
  <c r="AT184" i="5" s="1"/>
  <c r="AE184" i="5"/>
  <c r="AD463" i="5"/>
  <c r="AE205" i="5"/>
  <c r="AD470" i="5"/>
  <c r="AS470" i="5"/>
  <c r="AU470" i="5" s="1"/>
  <c r="AD556" i="5"/>
  <c r="AS327" i="5"/>
  <c r="AT327" i="5" s="1"/>
  <c r="AS509" i="5"/>
  <c r="AT509" i="5" s="1"/>
  <c r="AD511" i="5"/>
  <c r="AE140" i="5"/>
  <c r="AD452" i="5"/>
  <c r="AS226" i="5"/>
  <c r="AT226" i="5" s="1"/>
  <c r="AE354" i="5"/>
  <c r="AS22" i="5"/>
  <c r="AT22" i="5" s="1"/>
  <c r="AE213" i="5"/>
  <c r="AS511" i="5"/>
  <c r="AT511" i="5" s="1"/>
  <c r="AS297" i="5"/>
  <c r="AT297" i="5" s="1"/>
  <c r="AS466" i="5"/>
  <c r="AU466" i="5" s="1"/>
  <c r="AE297" i="5"/>
  <c r="AS213" i="5"/>
  <c r="AU213" i="5" s="1"/>
  <c r="AS540" i="5"/>
  <c r="AU540" i="5" s="1"/>
  <c r="AE359" i="5"/>
  <c r="Y20" i="4"/>
  <c r="Z20" i="4" s="1"/>
  <c r="AF20" i="4" s="1"/>
  <c r="AE20" i="4"/>
  <c r="AD444" i="5"/>
  <c r="AD183" i="5"/>
  <c r="AS49" i="5"/>
  <c r="AT49" i="5" s="1"/>
  <c r="AE46" i="4"/>
  <c r="AA43" i="4"/>
  <c r="AC43" i="4" s="1"/>
  <c r="AD43" i="4" s="1"/>
  <c r="AD540" i="5"/>
  <c r="AS359" i="5"/>
  <c r="AT359" i="5" s="1"/>
  <c r="AE365" i="5"/>
  <c r="AS514" i="5"/>
  <c r="AT514" i="5" s="1"/>
  <c r="AE479" i="5"/>
  <c r="X14" i="4"/>
  <c r="AJ14" i="4" s="1"/>
  <c r="AE24" i="5"/>
  <c r="AS166" i="5"/>
  <c r="AT166" i="5" s="1"/>
  <c r="AD136" i="5"/>
  <c r="X61" i="4"/>
  <c r="AJ61" i="4" s="1"/>
  <c r="AE66" i="4"/>
  <c r="AF66" i="4"/>
  <c r="AO66" i="4" s="1"/>
  <c r="AD302" i="5"/>
  <c r="AA149" i="4"/>
  <c r="AC149" i="4" s="1"/>
  <c r="AD149" i="4" s="1"/>
  <c r="AO61" i="4"/>
  <c r="AA115" i="4"/>
  <c r="AC115" i="4" s="1"/>
  <c r="AD115" i="4" s="1"/>
  <c r="AE61" i="4"/>
  <c r="AE40" i="5"/>
  <c r="AE237" i="5"/>
  <c r="AE42" i="5"/>
  <c r="AD386" i="5"/>
  <c r="AE261" i="5"/>
  <c r="AS188" i="5"/>
  <c r="AT188" i="5" s="1"/>
  <c r="AE386" i="5"/>
  <c r="AS42" i="5"/>
  <c r="AU42" i="5" s="1"/>
  <c r="AF142" i="4"/>
  <c r="AG142" i="4" s="1"/>
  <c r="AI142" i="4" s="1"/>
  <c r="AS248" i="5"/>
  <c r="AU248" i="5" s="1"/>
  <c r="AD261" i="5"/>
  <c r="AE142" i="4"/>
  <c r="AS361" i="5"/>
  <c r="AU361" i="5" s="1"/>
  <c r="AD361" i="5"/>
  <c r="AD543" i="5"/>
  <c r="AD280" i="5"/>
  <c r="AS313" i="5"/>
  <c r="AU313" i="5" s="1"/>
  <c r="X142" i="4"/>
  <c r="AJ142" i="4" s="1"/>
  <c r="AE280" i="5"/>
  <c r="AD301" i="5"/>
  <c r="AE303" i="5"/>
  <c r="AE482" i="5"/>
  <c r="AE382" i="5"/>
  <c r="AS351" i="5"/>
  <c r="AT351" i="5" s="1"/>
  <c r="AS518" i="5"/>
  <c r="AU518" i="5" s="1"/>
  <c r="AS31" i="5"/>
  <c r="AT31" i="5" s="1"/>
  <c r="AE491" i="5"/>
  <c r="AT278" i="5"/>
  <c r="AD365" i="5"/>
  <c r="AE501" i="5"/>
  <c r="AS353" i="5"/>
  <c r="AT353" i="5" s="1"/>
  <c r="AS421" i="5"/>
  <c r="AT421" i="5" s="1"/>
  <c r="AD332" i="5"/>
  <c r="AE332" i="5"/>
  <c r="AD518" i="5"/>
  <c r="AD203" i="5"/>
  <c r="AE166" i="5"/>
  <c r="AS302" i="5"/>
  <c r="AU302" i="5" s="1"/>
  <c r="AE70" i="5"/>
  <c r="AS145" i="5"/>
  <c r="AU145" i="5" s="1"/>
  <c r="AD514" i="5"/>
  <c r="AS300" i="5"/>
  <c r="AT300" i="5" s="1"/>
  <c r="AS444" i="5"/>
  <c r="AU444" i="5" s="1"/>
  <c r="AD345" i="5"/>
  <c r="AE136" i="5"/>
  <c r="AE243" i="5"/>
  <c r="AS113" i="5"/>
  <c r="AU113" i="5" s="1"/>
  <c r="AE300" i="5"/>
  <c r="AS382" i="5"/>
  <c r="AT382" i="5" s="1"/>
  <c r="AD482" i="5"/>
  <c r="AS58" i="5"/>
  <c r="AU58" i="5" s="1"/>
  <c r="AE58" i="5"/>
  <c r="AD48" i="5"/>
  <c r="AD363" i="5"/>
  <c r="AS201" i="5"/>
  <c r="AU201" i="5" s="1"/>
  <c r="AS349" i="5"/>
  <c r="AT349" i="5" s="1"/>
  <c r="AE336" i="5"/>
  <c r="AS137" i="5"/>
  <c r="AT137" i="5" s="1"/>
  <c r="AE59" i="5"/>
  <c r="AE349" i="5"/>
  <c r="AE378" i="5"/>
  <c r="AS222" i="5"/>
  <c r="AU222" i="5" s="1"/>
  <c r="AS336" i="5"/>
  <c r="AT336" i="5" s="1"/>
  <c r="AS21" i="5"/>
  <c r="AT21" i="5" s="1"/>
  <c r="AD21" i="5"/>
  <c r="AS148" i="5"/>
  <c r="AT148" i="5" s="1"/>
  <c r="AE248" i="5"/>
  <c r="AE188" i="5"/>
  <c r="AE137" i="5"/>
  <c r="AD59" i="5"/>
  <c r="AD374" i="5"/>
  <c r="AD32" i="5"/>
  <c r="AS478" i="5"/>
  <c r="AU478" i="5" s="1"/>
  <c r="AE223" i="5"/>
  <c r="AS374" i="5"/>
  <c r="AU374" i="5" s="1"/>
  <c r="AE455" i="5"/>
  <c r="AS32" i="5"/>
  <c r="AT32" i="5" s="1"/>
  <c r="AD478" i="5"/>
  <c r="AD223" i="5"/>
  <c r="AE199" i="5"/>
  <c r="AD303" i="5"/>
  <c r="AE313" i="5"/>
  <c r="AD481" i="5"/>
  <c r="AD237" i="5"/>
  <c r="AS363" i="5"/>
  <c r="AT363" i="5" s="1"/>
  <c r="AS378" i="5"/>
  <c r="AU378" i="5" s="1"/>
  <c r="AE222" i="5"/>
  <c r="AE69" i="5"/>
  <c r="AE543" i="5"/>
  <c r="AS301" i="5"/>
  <c r="AU301" i="5" s="1"/>
  <c r="AS455" i="5"/>
  <c r="AU455" i="5" s="1"/>
  <c r="AD453" i="5"/>
  <c r="AS48" i="5"/>
  <c r="AU48" i="5" s="1"/>
  <c r="AD138" i="5"/>
  <c r="AS138" i="5"/>
  <c r="AT138" i="5" s="1"/>
  <c r="AD360" i="5"/>
  <c r="AS477" i="5"/>
  <c r="AT477" i="5" s="1"/>
  <c r="AE333" i="5"/>
  <c r="AE477" i="5"/>
  <c r="AS94" i="5"/>
  <c r="AU94" i="5" s="1"/>
  <c r="AD194" i="5"/>
  <c r="AS306" i="5"/>
  <c r="AU306" i="5" s="1"/>
  <c r="AS494" i="5"/>
  <c r="AU494" i="5" s="1"/>
  <c r="AA96" i="4"/>
  <c r="AC96" i="4" s="1"/>
  <c r="AD96" i="4" s="1"/>
  <c r="AR96" i="4" s="1"/>
  <c r="AT96" i="4" s="1"/>
  <c r="AD94" i="5"/>
  <c r="AD333" i="5"/>
  <c r="AS360" i="5"/>
  <c r="AU360" i="5" s="1"/>
  <c r="AS259" i="5"/>
  <c r="AU259" i="5" s="1"/>
  <c r="AD460" i="5"/>
  <c r="AT147" i="5"/>
  <c r="AS194" i="5"/>
  <c r="AU194" i="5" s="1"/>
  <c r="AD306" i="5"/>
  <c r="AE494" i="5"/>
  <c r="AT54" i="5"/>
  <c r="AS158" i="5"/>
  <c r="AU158" i="5" s="1"/>
  <c r="AD54" i="5"/>
  <c r="AE173" i="5"/>
  <c r="AD269" i="5"/>
  <c r="AS119" i="5"/>
  <c r="AU119" i="5" s="1"/>
  <c r="AE186" i="5"/>
  <c r="AE460" i="5"/>
  <c r="AD475" i="5"/>
  <c r="AE399" i="5"/>
  <c r="AD398" i="5"/>
  <c r="AS475" i="5"/>
  <c r="AU475" i="5" s="1"/>
  <c r="AD536" i="5"/>
  <c r="AE165" i="5"/>
  <c r="AE125" i="5"/>
  <c r="AS186" i="5"/>
  <c r="AU186" i="5" s="1"/>
  <c r="AD399" i="5"/>
  <c r="AD456" i="5"/>
  <c r="AE54" i="5"/>
  <c r="AS425" i="5"/>
  <c r="AT425" i="5" s="1"/>
  <c r="AS55" i="5"/>
  <c r="AT55" i="5" s="1"/>
  <c r="AE135" i="4"/>
  <c r="AE533" i="5"/>
  <c r="AD31" i="5"/>
  <c r="AS440" i="5"/>
  <c r="AT440" i="5" s="1"/>
  <c r="AD366" i="5"/>
  <c r="AS462" i="5"/>
  <c r="AU462" i="5" s="1"/>
  <c r="AE65" i="5"/>
  <c r="AD436" i="5"/>
  <c r="AD400" i="5"/>
  <c r="AD296" i="5"/>
  <c r="AS283" i="5"/>
  <c r="AT283" i="5" s="1"/>
  <c r="AE269" i="5"/>
  <c r="AE241" i="5"/>
  <c r="AS517" i="5"/>
  <c r="AT517" i="5" s="1"/>
  <c r="AE208" i="5"/>
  <c r="AS140" i="5"/>
  <c r="AU140" i="5" s="1"/>
  <c r="AS556" i="5"/>
  <c r="AU556" i="5" s="1"/>
  <c r="AE22" i="5"/>
  <c r="AD151" i="5"/>
  <c r="AD226" i="5"/>
  <c r="AD466" i="5"/>
  <c r="AS62" i="5"/>
  <c r="AT62" i="5" s="1"/>
  <c r="AS354" i="5"/>
  <c r="AU354" i="5" s="1"/>
  <c r="AS309" i="5"/>
  <c r="AT309" i="5" s="1"/>
  <c r="AD401" i="5"/>
  <c r="AS325" i="5"/>
  <c r="AU325" i="5" s="1"/>
  <c r="X15" i="4"/>
  <c r="AJ15" i="4" s="1"/>
  <c r="AE210" i="5"/>
  <c r="AE151" i="5"/>
  <c r="AD472" i="5"/>
  <c r="AD112" i="5"/>
  <c r="AE551" i="5"/>
  <c r="AE309" i="5"/>
  <c r="AD486" i="5"/>
  <c r="AE112" i="5"/>
  <c r="AS551" i="5"/>
  <c r="AU551" i="5" s="1"/>
  <c r="AD245" i="5"/>
  <c r="AD277" i="5"/>
  <c r="AS116" i="5"/>
  <c r="AT116" i="5" s="1"/>
  <c r="AD325" i="5"/>
  <c r="AS504" i="5"/>
  <c r="AT504" i="5" s="1"/>
  <c r="AS210" i="5"/>
  <c r="AU210" i="5" s="1"/>
  <c r="AE304" i="5"/>
  <c r="AD327" i="5"/>
  <c r="AS452" i="5"/>
  <c r="AU452" i="5" s="1"/>
  <c r="AD504" i="5"/>
  <c r="AD304" i="5"/>
  <c r="AS245" i="5"/>
  <c r="AT245" i="5" s="1"/>
  <c r="AS46" i="5"/>
  <c r="AT46" i="5" s="1"/>
  <c r="AS277" i="5"/>
  <c r="AU277" i="5" s="1"/>
  <c r="AD158" i="5"/>
  <c r="AD46" i="5"/>
  <c r="AD116" i="5"/>
  <c r="AS438" i="5"/>
  <c r="AT438" i="5" s="1"/>
  <c r="AS244" i="5"/>
  <c r="AU244" i="5" s="1"/>
  <c r="AD189" i="5"/>
  <c r="AD40" i="5"/>
  <c r="AE502" i="5"/>
  <c r="AD38" i="5"/>
  <c r="AD180" i="5"/>
  <c r="AE101" i="5"/>
  <c r="AE480" i="5"/>
  <c r="AS548" i="5"/>
  <c r="AT548" i="5" s="1"/>
  <c r="AS36" i="5"/>
  <c r="AU36" i="5" s="1"/>
  <c r="AS502" i="5"/>
  <c r="AT502" i="5" s="1"/>
  <c r="AS310" i="5"/>
  <c r="AU310" i="5" s="1"/>
  <c r="AD142" i="5"/>
  <c r="AE76" i="5"/>
  <c r="AS308" i="5"/>
  <c r="AU308" i="5" s="1"/>
  <c r="AD338" i="5"/>
  <c r="AE142" i="5"/>
  <c r="AD274" i="5"/>
  <c r="AD238" i="5"/>
  <c r="AE19" i="5"/>
  <c r="AD150" i="5"/>
  <c r="AE544" i="5"/>
  <c r="AD450" i="5"/>
  <c r="AS115" i="5"/>
  <c r="AT115" i="5" s="1"/>
  <c r="AD295" i="5"/>
  <c r="AE115" i="5"/>
  <c r="AD491" i="5"/>
  <c r="AS150" i="5"/>
  <c r="AU150" i="5" s="1"/>
  <c r="AE552" i="5"/>
  <c r="AE517" i="5"/>
  <c r="AE341" i="5"/>
  <c r="AE25" i="5"/>
  <c r="AS552" i="5"/>
  <c r="AT552" i="5" s="1"/>
  <c r="AD241" i="5"/>
  <c r="AD298" i="5"/>
  <c r="AS25" i="5"/>
  <c r="AT25" i="5" s="1"/>
  <c r="AE298" i="5"/>
  <c r="AD451" i="5"/>
  <c r="AT202" i="5"/>
  <c r="AE202" i="5"/>
  <c r="AD202" i="5"/>
  <c r="AD208" i="5"/>
  <c r="AS451" i="5"/>
  <c r="AU451" i="5" s="1"/>
  <c r="AS267" i="5"/>
  <c r="AU267" i="5" s="1"/>
  <c r="AS174" i="5"/>
  <c r="AU174" i="5" s="1"/>
  <c r="AS104" i="5"/>
  <c r="AU104" i="5" s="1"/>
  <c r="AE145" i="5"/>
  <c r="AD104" i="5"/>
  <c r="AS178" i="5"/>
  <c r="AU178" i="5" s="1"/>
  <c r="AE113" i="5"/>
  <c r="AE200" i="5"/>
  <c r="AS533" i="5"/>
  <c r="AT533" i="5" s="1"/>
  <c r="AE216" i="5"/>
  <c r="AS120" i="5"/>
  <c r="AU120" i="5" s="1"/>
  <c r="AS501" i="5"/>
  <c r="AU501" i="5" s="1"/>
  <c r="AE456" i="5"/>
  <c r="AD421" i="5"/>
  <c r="AE120" i="5"/>
  <c r="AU78" i="5"/>
  <c r="AE351" i="5"/>
  <c r="AD275" i="5"/>
  <c r="AD440" i="5"/>
  <c r="AS400" i="5"/>
  <c r="AT400" i="5" s="1"/>
  <c r="AE203" i="5"/>
  <c r="AS366" i="5"/>
  <c r="AU366" i="5" s="1"/>
  <c r="AD216" i="5"/>
  <c r="AE434" i="5"/>
  <c r="AS390" i="5"/>
  <c r="AU390" i="5" s="1"/>
  <c r="AD383" i="5"/>
  <c r="AE275" i="5"/>
  <c r="AE181" i="5"/>
  <c r="AD260" i="5"/>
  <c r="AD434" i="5"/>
  <c r="AE384" i="5"/>
  <c r="AE425" i="5"/>
  <c r="AE390" i="5"/>
  <c r="AD165" i="5"/>
  <c r="AD335" i="5"/>
  <c r="AD506" i="5"/>
  <c r="AD181" i="5"/>
  <c r="AE260" i="5"/>
  <c r="AS383" i="5"/>
  <c r="AU383" i="5" s="1"/>
  <c r="AS492" i="5"/>
  <c r="AU492" i="5" s="1"/>
  <c r="AS384" i="5"/>
  <c r="AT384" i="5" s="1"/>
  <c r="AS335" i="5"/>
  <c r="AU335" i="5" s="1"/>
  <c r="AE506" i="5"/>
  <c r="AD492" i="5"/>
  <c r="AD353" i="5"/>
  <c r="AE495" i="5"/>
  <c r="AS193" i="5"/>
  <c r="AT193" i="5" s="1"/>
  <c r="AD114" i="5"/>
  <c r="AD495" i="5"/>
  <c r="AT81" i="5"/>
  <c r="AD283" i="5"/>
  <c r="AS114" i="5"/>
  <c r="AT114" i="5" s="1"/>
  <c r="AS420" i="5"/>
  <c r="AT420" i="5" s="1"/>
  <c r="AD441" i="5"/>
  <c r="AE462" i="5"/>
  <c r="AS441" i="5"/>
  <c r="AU441" i="5" s="1"/>
  <c r="AE420" i="5"/>
  <c r="AE278" i="5"/>
  <c r="AS60" i="5"/>
  <c r="AU60" i="5" s="1"/>
  <c r="X135" i="4"/>
  <c r="AJ135" i="4" s="1"/>
  <c r="AD278" i="5"/>
  <c r="AD81" i="5"/>
  <c r="AE122" i="5"/>
  <c r="AE49" i="5"/>
  <c r="AD70" i="5"/>
  <c r="AS122" i="5"/>
  <c r="AT122" i="5" s="1"/>
  <c r="AE81" i="5"/>
  <c r="AE78" i="5"/>
  <c r="AE60" i="5"/>
  <c r="AE36" i="5"/>
  <c r="AD356" i="5"/>
  <c r="AD310" i="5"/>
  <c r="AF125" i="4"/>
  <c r="AG125" i="4" s="1"/>
  <c r="AI125" i="4" s="1"/>
  <c r="AD127" i="5"/>
  <c r="AE356" i="5"/>
  <c r="AE125" i="4"/>
  <c r="AE127" i="5"/>
  <c r="AE143" i="5"/>
  <c r="AD343" i="5"/>
  <c r="AS314" i="5"/>
  <c r="AT314" i="5" s="1"/>
  <c r="AE343" i="5"/>
  <c r="AS50" i="5"/>
  <c r="AT50" i="5" s="1"/>
  <c r="AE342" i="5"/>
  <c r="X125" i="4"/>
  <c r="AJ125" i="4" s="1"/>
  <c r="AS143" i="5"/>
  <c r="AT143" i="5" s="1"/>
  <c r="AE12" i="5"/>
  <c r="AS541" i="5"/>
  <c r="AT541" i="5" s="1"/>
  <c r="AD50" i="5"/>
  <c r="AD428" i="5"/>
  <c r="AS12" i="5"/>
  <c r="AU12" i="5" s="1"/>
  <c r="AS496" i="5"/>
  <c r="AU496" i="5" s="1"/>
  <c r="AE496" i="5"/>
  <c r="AE314" i="5"/>
  <c r="AE38" i="5"/>
  <c r="AD342" i="5"/>
  <c r="AE308" i="5"/>
  <c r="AS77" i="5"/>
  <c r="AT77" i="5" s="1"/>
  <c r="AX77" i="5" s="1"/>
  <c r="AY77" i="5" s="1"/>
  <c r="AS476" i="5"/>
  <c r="AT476" i="5" s="1"/>
  <c r="AS405" i="5"/>
  <c r="AU405" i="5" s="1"/>
  <c r="AE106" i="5"/>
  <c r="AD244" i="5"/>
  <c r="AS295" i="5"/>
  <c r="AU295" i="5" s="1"/>
  <c r="AS76" i="5"/>
  <c r="AU76" i="5" s="1"/>
  <c r="AD438" i="5"/>
  <c r="AE405" i="5"/>
  <c r="AS106" i="5"/>
  <c r="AT106" i="5" s="1"/>
  <c r="AS134" i="5"/>
  <c r="AU134" i="5" s="1"/>
  <c r="AE180" i="5"/>
  <c r="AE476" i="5"/>
  <c r="AS90" i="5"/>
  <c r="AU90" i="5" s="1"/>
  <c r="AD282" i="5"/>
  <c r="AD528" i="5"/>
  <c r="X57" i="4"/>
  <c r="AJ57" i="4" s="1"/>
  <c r="AD77" i="5"/>
  <c r="AE57" i="4"/>
  <c r="AD239" i="5"/>
  <c r="AS24" i="5"/>
  <c r="AT24" i="5" s="1"/>
  <c r="AE338" i="5"/>
  <c r="AE274" i="5"/>
  <c r="AD294" i="5"/>
  <c r="AS239" i="5"/>
  <c r="AU239" i="5" s="1"/>
  <c r="AS293" i="5"/>
  <c r="AT293" i="5" s="1"/>
  <c r="AD262" i="5"/>
  <c r="AS44" i="5"/>
  <c r="AT44" i="5" s="1"/>
  <c r="AE294" i="5"/>
  <c r="AD217" i="5"/>
  <c r="AE247" i="5"/>
  <c r="AS238" i="5"/>
  <c r="AU238" i="5" s="1"/>
  <c r="AD293" i="5"/>
  <c r="AE189" i="5"/>
  <c r="AE262" i="5"/>
  <c r="AS344" i="5"/>
  <c r="AU344" i="5" s="1"/>
  <c r="AD101" i="5"/>
  <c r="AE44" i="5"/>
  <c r="AS394" i="5"/>
  <c r="AT394" i="5" s="1"/>
  <c r="AS19" i="5"/>
  <c r="AT19" i="5" s="1"/>
  <c r="AS453" i="5"/>
  <c r="AT453" i="5" s="1"/>
  <c r="AD548" i="5"/>
  <c r="AE148" i="5"/>
  <c r="AD197" i="5"/>
  <c r="AS220" i="5"/>
  <c r="AU220" i="5" s="1"/>
  <c r="AD544" i="5"/>
  <c r="AE450" i="5"/>
  <c r="AK96" i="4"/>
  <c r="AS217" i="5"/>
  <c r="AU217" i="5" s="1"/>
  <c r="AS197" i="5"/>
  <c r="AU197" i="5" s="1"/>
  <c r="AE220" i="5"/>
  <c r="AE266" i="5"/>
  <c r="AD257" i="5"/>
  <c r="AE436" i="5"/>
  <c r="AD174" i="5"/>
  <c r="AS410" i="5"/>
  <c r="AU410" i="5" s="1"/>
  <c r="AE34" i="5"/>
  <c r="AS132" i="5"/>
  <c r="AU132" i="5" s="1"/>
  <c r="AS27" i="5"/>
  <c r="AU27" i="5" s="1"/>
  <c r="AE133" i="5"/>
  <c r="AS126" i="5"/>
  <c r="AT126" i="5" s="1"/>
  <c r="AS416" i="5"/>
  <c r="AT416" i="5" s="1"/>
  <c r="AS385" i="5"/>
  <c r="AT385" i="5" s="1"/>
  <c r="AS111" i="5"/>
  <c r="AU111" i="5" s="1"/>
  <c r="AD133" i="5"/>
  <c r="AD267" i="5"/>
  <c r="AS68" i="5"/>
  <c r="AT68" i="5" s="1"/>
  <c r="AE416" i="5"/>
  <c r="AD27" i="5"/>
  <c r="AS447" i="5"/>
  <c r="AT447" i="5" s="1"/>
  <c r="AD385" i="5"/>
  <c r="AD350" i="5"/>
  <c r="AS350" i="5"/>
  <c r="AT350" i="5" s="1"/>
  <c r="AE375" i="5"/>
  <c r="AS179" i="5"/>
  <c r="AU179" i="5" s="1"/>
  <c r="AE35" i="5"/>
  <c r="AD73" i="5"/>
  <c r="AD29" i="5"/>
  <c r="AS155" i="5"/>
  <c r="AU155" i="5" s="1"/>
  <c r="AE505" i="5"/>
  <c r="AS369" i="5"/>
  <c r="AT369" i="5" s="1"/>
  <c r="AE43" i="5"/>
  <c r="AD155" i="5"/>
  <c r="AE68" i="5"/>
  <c r="AS73" i="5"/>
  <c r="AT73" i="5" s="1"/>
  <c r="AE111" i="5"/>
  <c r="AD369" i="5"/>
  <c r="AD341" i="5"/>
  <c r="AS505" i="5"/>
  <c r="AT505" i="5" s="1"/>
  <c r="AD126" i="5"/>
  <c r="AS388" i="5"/>
  <c r="AU388" i="5" s="1"/>
  <c r="AD465" i="5"/>
  <c r="AD132" i="5"/>
  <c r="AU257" i="5"/>
  <c r="AD125" i="5"/>
  <c r="AD529" i="5"/>
  <c r="AE296" i="5"/>
  <c r="AD253" i="5"/>
  <c r="AD228" i="5"/>
  <c r="AD55" i="5"/>
  <c r="AS529" i="5"/>
  <c r="AU529" i="5" s="1"/>
  <c r="AD499" i="5"/>
  <c r="AD168" i="5"/>
  <c r="AS228" i="5"/>
  <c r="AU228" i="5" s="1"/>
  <c r="AD236" i="5"/>
  <c r="AE499" i="5"/>
  <c r="AE403" i="5"/>
  <c r="AD33" i="5"/>
  <c r="AE147" i="5"/>
  <c r="AE157" i="5"/>
  <c r="AS168" i="5"/>
  <c r="AU168" i="5" s="1"/>
  <c r="AS99" i="5"/>
  <c r="AU99" i="5" s="1"/>
  <c r="AE253" i="5"/>
  <c r="AD66" i="5"/>
  <c r="AS473" i="5"/>
  <c r="AU473" i="5" s="1"/>
  <c r="AS236" i="5"/>
  <c r="AU236" i="5" s="1"/>
  <c r="AE214" i="5"/>
  <c r="AS141" i="5"/>
  <c r="AU141" i="5" s="1"/>
  <c r="AS404" i="5"/>
  <c r="AU404" i="5" s="1"/>
  <c r="AD268" i="5"/>
  <c r="AS403" i="5"/>
  <c r="AU403" i="5" s="1"/>
  <c r="AE33" i="5"/>
  <c r="AS218" i="5"/>
  <c r="AT218" i="5" s="1"/>
  <c r="AS398" i="5"/>
  <c r="AT398" i="5" s="1"/>
  <c r="AD173" i="5"/>
  <c r="AS66" i="5"/>
  <c r="AU66" i="5" s="1"/>
  <c r="AE473" i="5"/>
  <c r="AD119" i="5"/>
  <c r="AS214" i="5"/>
  <c r="AU214" i="5" s="1"/>
  <c r="AE141" i="5"/>
  <c r="AE404" i="5"/>
  <c r="AE268" i="5"/>
  <c r="AD259" i="5"/>
  <c r="AD266" i="5"/>
  <c r="AE257" i="5"/>
  <c r="AS229" i="5"/>
  <c r="AU229" i="5" s="1"/>
  <c r="AE229" i="5"/>
  <c r="AE536" i="5"/>
  <c r="AS108" i="5"/>
  <c r="AT108" i="5" s="1"/>
  <c r="AD218" i="5"/>
  <c r="AS65" i="5"/>
  <c r="AU65" i="5" s="1"/>
  <c r="AD147" i="5"/>
  <c r="AE99" i="5"/>
  <c r="AS157" i="5"/>
  <c r="AU157" i="5" s="1"/>
  <c r="AE541" i="5"/>
  <c r="AD90" i="5"/>
  <c r="AE282" i="5"/>
  <c r="AS468" i="5"/>
  <c r="AT468" i="5" s="1"/>
  <c r="AS528" i="5"/>
  <c r="AU528" i="5" s="1"/>
  <c r="AD134" i="5"/>
  <c r="AS428" i="5"/>
  <c r="AU428" i="5" s="1"/>
  <c r="AE468" i="5"/>
  <c r="AS198" i="5"/>
  <c r="AT198" i="5" s="1"/>
  <c r="AD513" i="5"/>
  <c r="AE329" i="5"/>
  <c r="AS285" i="5"/>
  <c r="AT285" i="5" s="1"/>
  <c r="AE521" i="5"/>
  <c r="AE380" i="5"/>
  <c r="AS513" i="5"/>
  <c r="AU513" i="5" s="1"/>
  <c r="AE331" i="5"/>
  <c r="AD395" i="5"/>
  <c r="AS318" i="5"/>
  <c r="AU318" i="5" s="1"/>
  <c r="AD329" i="5"/>
  <c r="AD83" i="5"/>
  <c r="AE285" i="5"/>
  <c r="AD521" i="5"/>
  <c r="AE198" i="5"/>
  <c r="AD255" i="5"/>
  <c r="AE471" i="5"/>
  <c r="AD471" i="5"/>
  <c r="AD380" i="5"/>
  <c r="AD331" i="5"/>
  <c r="AE395" i="5"/>
  <c r="AE318" i="5"/>
  <c r="AS270" i="5"/>
  <c r="AT270" i="5" s="1"/>
  <c r="AD427" i="5"/>
  <c r="AE83" i="5"/>
  <c r="AS402" i="5"/>
  <c r="AU402" i="5" s="1"/>
  <c r="AD270" i="5"/>
  <c r="AE427" i="5"/>
  <c r="AE402" i="5"/>
  <c r="AS255" i="5"/>
  <c r="AT255" i="5" s="1"/>
  <c r="Y39" i="4"/>
  <c r="Z39" i="4" s="1"/>
  <c r="AF39" i="4" s="1"/>
  <c r="AE62" i="5"/>
  <c r="AS205" i="5"/>
  <c r="AT205" i="5" s="1"/>
  <c r="AD251" i="5"/>
  <c r="AU175" i="5"/>
  <c r="AS82" i="5"/>
  <c r="AU82" i="5" s="1"/>
  <c r="AE39" i="4"/>
  <c r="AS401" i="5"/>
  <c r="AU401" i="5" s="1"/>
  <c r="AS437" i="5"/>
  <c r="AT437" i="5" s="1"/>
  <c r="AD82" i="5"/>
  <c r="AE437" i="5"/>
  <c r="AE251" i="5"/>
  <c r="AD424" i="5"/>
  <c r="AS387" i="5"/>
  <c r="AT387" i="5" s="1"/>
  <c r="AS103" i="5"/>
  <c r="AT103" i="5" s="1"/>
  <c r="AE175" i="5"/>
  <c r="AD381" i="5"/>
  <c r="AE424" i="5"/>
  <c r="AS316" i="5"/>
  <c r="AU316" i="5" s="1"/>
  <c r="AD7" i="5"/>
  <c r="B215" i="2" s="1"/>
  <c r="B216" i="2" s="1"/>
  <c r="B217" i="2" s="1"/>
  <c r="B227" i="2" s="1"/>
  <c r="B229" i="2" s="1"/>
  <c r="AE381" i="5"/>
  <c r="AD67" i="5"/>
  <c r="AE509" i="5"/>
  <c r="AD316" i="5"/>
  <c r="AS67" i="5"/>
  <c r="AU67" i="5" s="1"/>
  <c r="AS486" i="5"/>
  <c r="AU486" i="5" s="1"/>
  <c r="AE7" i="5"/>
  <c r="AS472" i="5"/>
  <c r="AT472" i="5" s="1"/>
  <c r="AE103" i="5"/>
  <c r="AD175" i="5"/>
  <c r="AD410" i="5"/>
  <c r="AE339" i="5"/>
  <c r="AS558" i="5"/>
  <c r="AU558" i="5" s="1"/>
  <c r="AE555" i="5"/>
  <c r="AE515" i="5"/>
  <c r="AD553" i="5"/>
  <c r="AD339" i="5"/>
  <c r="AE178" i="5"/>
  <c r="AE72" i="5"/>
  <c r="X12" i="4"/>
  <c r="AJ12" i="4" s="1"/>
  <c r="AD34" i="5"/>
  <c r="AE558" i="5"/>
  <c r="AS555" i="5"/>
  <c r="AU555" i="5" s="1"/>
  <c r="AE553" i="5"/>
  <c r="AS128" i="5"/>
  <c r="AT128" i="5" s="1"/>
  <c r="AE209" i="5"/>
  <c r="AD388" i="5"/>
  <c r="AE406" i="5"/>
  <c r="AD498" i="5"/>
  <c r="AD515" i="5"/>
  <c r="AD433" i="5"/>
  <c r="AE498" i="5"/>
  <c r="AS411" i="5"/>
  <c r="AU411" i="5" s="1"/>
  <c r="AS321" i="5"/>
  <c r="AU321" i="5" s="1"/>
  <c r="AE377" i="5"/>
  <c r="AE153" i="5"/>
  <c r="AE263" i="5"/>
  <c r="AE75" i="5"/>
  <c r="AE102" i="5"/>
  <c r="AD193" i="5"/>
  <c r="AE128" i="5"/>
  <c r="AS102" i="5"/>
  <c r="AT102" i="5" s="1"/>
  <c r="AD110" i="5"/>
  <c r="Y12" i="4"/>
  <c r="Z12" i="4" s="1"/>
  <c r="AD411" i="5"/>
  <c r="AS263" i="5"/>
  <c r="AU263" i="5" s="1"/>
  <c r="AS75" i="5"/>
  <c r="AU75" i="5" s="1"/>
  <c r="AS209" i="5"/>
  <c r="AT209" i="5" s="1"/>
  <c r="AE171" i="5"/>
  <c r="AE433" i="5"/>
  <c r="AS29" i="5"/>
  <c r="AT29" i="5" s="1"/>
  <c r="AS377" i="5"/>
  <c r="AU377" i="5" s="1"/>
  <c r="AS153" i="5"/>
  <c r="AT153" i="5" s="1"/>
  <c r="AE465" i="5"/>
  <c r="AD43" i="5"/>
  <c r="AD179" i="5"/>
  <c r="AS110" i="5"/>
  <c r="AU110" i="5" s="1"/>
  <c r="AE447" i="5"/>
  <c r="AD171" i="5"/>
  <c r="AS35" i="5"/>
  <c r="AT35" i="5" s="1"/>
  <c r="AS375" i="5"/>
  <c r="AT375" i="5" s="1"/>
  <c r="AE182" i="5"/>
  <c r="AD78" i="5"/>
  <c r="AS20" i="5"/>
  <c r="AT20" i="5" s="1"/>
  <c r="AD69" i="5"/>
  <c r="AE135" i="5"/>
  <c r="AD414" i="5"/>
  <c r="AE481" i="5"/>
  <c r="AD560" i="5"/>
  <c r="AS240" i="5"/>
  <c r="AT240" i="5" s="1"/>
  <c r="AE129" i="5"/>
  <c r="AD135" i="5"/>
  <c r="AE394" i="5"/>
  <c r="AD362" i="5"/>
  <c r="AS414" i="5"/>
  <c r="AT414" i="5" s="1"/>
  <c r="AD204" i="5"/>
  <c r="AS560" i="5"/>
  <c r="AT560" i="5" s="1"/>
  <c r="AS231" i="5"/>
  <c r="AU231" i="5" s="1"/>
  <c r="AS219" i="5"/>
  <c r="AT219" i="5" s="1"/>
  <c r="AS129" i="5"/>
  <c r="AT129" i="5" s="1"/>
  <c r="AE201" i="5"/>
  <c r="AD93" i="5"/>
  <c r="AE362" i="5"/>
  <c r="AS53" i="5"/>
  <c r="AT53" i="5" s="1"/>
  <c r="AS204" i="5"/>
  <c r="AT204" i="5" s="1"/>
  <c r="AE231" i="5"/>
  <c r="AE240" i="5"/>
  <c r="AE163" i="5"/>
  <c r="AD53" i="5"/>
  <c r="AD219" i="5"/>
  <c r="AS93" i="5"/>
  <c r="AT93" i="5" s="1"/>
  <c r="AS199" i="5"/>
  <c r="AT199" i="5" s="1"/>
  <c r="AE344" i="5"/>
  <c r="AS163" i="5"/>
  <c r="AT163" i="5" s="1"/>
  <c r="AS247" i="5"/>
  <c r="AT247" i="5" s="1"/>
  <c r="AE321" i="5"/>
  <c r="AD320" i="5"/>
  <c r="AS291" i="5"/>
  <c r="AU291" i="5" s="1"/>
  <c r="AE108" i="5"/>
  <c r="AD348" i="5"/>
  <c r="AS320" i="5"/>
  <c r="AT320" i="5" s="1"/>
  <c r="AD291" i="5"/>
  <c r="AE183" i="5"/>
  <c r="AE348" i="5"/>
  <c r="AU182" i="5"/>
  <c r="AT72" i="5"/>
  <c r="AE413" i="5"/>
  <c r="AD182" i="5"/>
  <c r="AD413" i="5"/>
  <c r="AD72" i="5"/>
  <c r="AS406" i="5"/>
  <c r="AT406" i="5" s="1"/>
  <c r="AS480" i="5"/>
  <c r="AT480" i="5" s="1"/>
  <c r="AD45" i="5"/>
  <c r="AE317" i="5"/>
  <c r="AE20" i="5"/>
  <c r="AD317" i="5"/>
  <c r="AS272" i="5"/>
  <c r="AU272" i="5" s="1"/>
  <c r="Y26" i="4"/>
  <c r="Z26" i="4" s="1"/>
  <c r="X26" i="4"/>
  <c r="AJ26" i="4" s="1"/>
  <c r="AE26" i="4"/>
  <c r="AD272" i="5"/>
  <c r="AS45" i="5"/>
  <c r="AT45" i="5" s="1"/>
  <c r="AE323" i="5"/>
  <c r="AE559" i="5"/>
  <c r="AS323" i="5"/>
  <c r="AU323" i="5" s="1"/>
  <c r="AS559" i="5"/>
  <c r="AU559" i="5" s="1"/>
  <c r="AS409" i="5"/>
  <c r="AU409" i="5" s="1"/>
  <c r="AE387" i="5"/>
  <c r="AD409" i="5"/>
  <c r="AR11" i="5"/>
  <c r="Y22" i="4"/>
  <c r="Z22" i="4" s="1"/>
  <c r="AA22" i="4" s="1"/>
  <c r="AC22" i="4" s="1"/>
  <c r="AD22" i="4" s="1"/>
  <c r="AE22" i="4"/>
  <c r="AE129" i="4"/>
  <c r="X72" i="4"/>
  <c r="AJ72" i="4" s="1"/>
  <c r="AE72" i="4"/>
  <c r="AO72" i="4"/>
  <c r="AS11" i="5"/>
  <c r="AU11" i="5" s="1"/>
  <c r="Y148" i="4"/>
  <c r="Z148" i="4" s="1"/>
  <c r="AF148" i="4" s="1"/>
  <c r="AE148" i="4"/>
  <c r="Y109" i="4"/>
  <c r="Z109" i="4" s="1"/>
  <c r="AF109" i="4" s="1"/>
  <c r="AE109" i="4"/>
  <c r="AA143" i="4"/>
  <c r="AC143" i="4" s="1"/>
  <c r="AD143" i="4" s="1"/>
  <c r="AT127" i="5"/>
  <c r="AS287" i="5"/>
  <c r="AT287" i="5" s="1"/>
  <c r="AA42" i="4"/>
  <c r="AC42" i="4" s="1"/>
  <c r="AD42" i="4" s="1"/>
  <c r="AQ9" i="5"/>
  <c r="AE79" i="4"/>
  <c r="X129" i="4"/>
  <c r="AJ129" i="4" s="1"/>
  <c r="AF152" i="4"/>
  <c r="AG152" i="4" s="1"/>
  <c r="AI152" i="4" s="1"/>
  <c r="AS249" i="5"/>
  <c r="AU249" i="5" s="1"/>
  <c r="AF67" i="4"/>
  <c r="AG67" i="4" s="1"/>
  <c r="AI67" i="4" s="1"/>
  <c r="AE67" i="4"/>
  <c r="X67" i="4"/>
  <c r="AA67" i="4" s="1"/>
  <c r="AC67" i="4" s="1"/>
  <c r="AD67" i="4" s="1"/>
  <c r="X79" i="4"/>
  <c r="AJ79" i="4" s="1"/>
  <c r="AD130" i="5"/>
  <c r="AD449" i="5"/>
  <c r="X152" i="4"/>
  <c r="AA152" i="4" s="1"/>
  <c r="AC152" i="4" s="1"/>
  <c r="AD152" i="4" s="1"/>
  <c r="AK143" i="4"/>
  <c r="AE152" i="4"/>
  <c r="Y34" i="4"/>
  <c r="Z34" i="4" s="1"/>
  <c r="AE34" i="4"/>
  <c r="X34" i="4"/>
  <c r="AJ34" i="4" s="1"/>
  <c r="X133" i="4"/>
  <c r="AJ133" i="4" s="1"/>
  <c r="AE133" i="4"/>
  <c r="Y133" i="4"/>
  <c r="Z133" i="4" s="1"/>
  <c r="Y21" i="4"/>
  <c r="Z21" i="4" s="1"/>
  <c r="AE21" i="4"/>
  <c r="X21" i="4"/>
  <c r="AJ21" i="4" s="1"/>
  <c r="Y58" i="4"/>
  <c r="Z58" i="4" s="1"/>
  <c r="X58" i="4"/>
  <c r="AJ58" i="4" s="1"/>
  <c r="AE58" i="4"/>
  <c r="Y144" i="4"/>
  <c r="X144" i="4"/>
  <c r="AE144" i="4"/>
  <c r="Y24" i="4"/>
  <c r="Z24" i="4" s="1"/>
  <c r="AE24" i="4"/>
  <c r="X24" i="4"/>
  <c r="Y83" i="4"/>
  <c r="Z83" i="4" s="1"/>
  <c r="AE83" i="4"/>
  <c r="AE62" i="4"/>
  <c r="Y62" i="4"/>
  <c r="Z62" i="4" s="1"/>
  <c r="Y101" i="4"/>
  <c r="Z101" i="4" s="1"/>
  <c r="X101" i="4"/>
  <c r="AJ101" i="4" s="1"/>
  <c r="AE101" i="4"/>
  <c r="AF79" i="4"/>
  <c r="Y132" i="4"/>
  <c r="Z132" i="4" s="1"/>
  <c r="AF132" i="4" s="1"/>
  <c r="AE132" i="4"/>
  <c r="X132" i="4"/>
  <c r="Y94" i="4"/>
  <c r="Z94" i="4" s="1"/>
  <c r="X94" i="4"/>
  <c r="AA140" i="4"/>
  <c r="AC140" i="4" s="1"/>
  <c r="AD140" i="4" s="1"/>
  <c r="AK140" i="4"/>
  <c r="AF140" i="4"/>
  <c r="X62" i="4"/>
  <c r="AJ62" i="4" s="1"/>
  <c r="X83" i="4"/>
  <c r="AJ83" i="4" s="1"/>
  <c r="X141" i="4"/>
  <c r="AJ141" i="4" s="1"/>
  <c r="Y141" i="4"/>
  <c r="AE141" i="4"/>
  <c r="Y59" i="4"/>
  <c r="Z59" i="4" s="1"/>
  <c r="AE59" i="4"/>
  <c r="Y10" i="4"/>
  <c r="Z10" i="4" s="1"/>
  <c r="X10" i="4"/>
  <c r="AJ10" i="4" s="1"/>
  <c r="AE10" i="4"/>
  <c r="Y130" i="4"/>
  <c r="X130" i="4"/>
  <c r="AE130" i="4"/>
  <c r="X155" i="4"/>
  <c r="Y155" i="4"/>
  <c r="AF105" i="4"/>
  <c r="AA105" i="4"/>
  <c r="AC105" i="4" s="1"/>
  <c r="AD105" i="4" s="1"/>
  <c r="AK105" i="4"/>
  <c r="AD287" i="5"/>
  <c r="AD249" i="5"/>
  <c r="AE449" i="5"/>
  <c r="AE292" i="5"/>
  <c r="AS393" i="5"/>
  <c r="AT393" i="5" s="1"/>
  <c r="AS292" i="5"/>
  <c r="AU292" i="5" s="1"/>
  <c r="AS391" i="5"/>
  <c r="AT391" i="5" s="1"/>
  <c r="AD393" i="5"/>
  <c r="AE391" i="5"/>
  <c r="AA84" i="4"/>
  <c r="AC84" i="4" s="1"/>
  <c r="AD84" i="4" s="1"/>
  <c r="AK84" i="4"/>
  <c r="AF84" i="4"/>
  <c r="AE286" i="5"/>
  <c r="AD286" i="5"/>
  <c r="AS162" i="5"/>
  <c r="AT162" i="5" s="1"/>
  <c r="AD123" i="5"/>
  <c r="AD74" i="5"/>
  <c r="AG143" i="4"/>
  <c r="AI143" i="4" s="1"/>
  <c r="AO143" i="4"/>
  <c r="AD11" i="5"/>
  <c r="AG75" i="4"/>
  <c r="AI75" i="4" s="1"/>
  <c r="AE11" i="5"/>
  <c r="AS235" i="5"/>
  <c r="AU235" i="5" s="1"/>
  <c r="AE10" i="5"/>
  <c r="AS10" i="5"/>
  <c r="AU10" i="5" s="1"/>
  <c r="AD235" i="5"/>
  <c r="AE123" i="5"/>
  <c r="AE74" i="5"/>
  <c r="AE162" i="5"/>
  <c r="AS299" i="5"/>
  <c r="AU299" i="5" s="1"/>
  <c r="AA123" i="4"/>
  <c r="AC123" i="4" s="1"/>
  <c r="AD123" i="4" s="1"/>
  <c r="AO108" i="4"/>
  <c r="AK40" i="4"/>
  <c r="AA32" i="4"/>
  <c r="AC32" i="4" s="1"/>
  <c r="AD32" i="4" s="1"/>
  <c r="AD557" i="5"/>
  <c r="AE549" i="5"/>
  <c r="AE271" i="5"/>
  <c r="AA40" i="4"/>
  <c r="AC40" i="4" s="1"/>
  <c r="AD40" i="4" s="1"/>
  <c r="AR40" i="4" s="1"/>
  <c r="AT40" i="4" s="1"/>
  <c r="AD311" i="5"/>
  <c r="AS8" i="5"/>
  <c r="AT8" i="5" s="1"/>
  <c r="AK99" i="4"/>
  <c r="AS169" i="5"/>
  <c r="AT169" i="5" s="1"/>
  <c r="AE340" i="5"/>
  <c r="AD397" i="5"/>
  <c r="AD538" i="5"/>
  <c r="AE407" i="5"/>
  <c r="AD176" i="5"/>
  <c r="AE311" i="5"/>
  <c r="AE130" i="5"/>
  <c r="AS340" i="5"/>
  <c r="AU340" i="5" s="1"/>
  <c r="AE412" i="5"/>
  <c r="AS271" i="5"/>
  <c r="AT271" i="5" s="1"/>
  <c r="AD445" i="5"/>
  <c r="AS95" i="5"/>
  <c r="AT95" i="5" s="1"/>
  <c r="AE538" i="5"/>
  <c r="AS412" i="5"/>
  <c r="AT412" i="5" s="1"/>
  <c r="AD334" i="5"/>
  <c r="AE445" i="5"/>
  <c r="AD95" i="5"/>
  <c r="AD458" i="5"/>
  <c r="AS79" i="5"/>
  <c r="AT79" i="5" s="1"/>
  <c r="AX78" i="5" s="1"/>
  <c r="AY78" i="5" s="1"/>
  <c r="AE52" i="5"/>
  <c r="AS458" i="5"/>
  <c r="AU458" i="5" s="1"/>
  <c r="AE79" i="5"/>
  <c r="AS52" i="5"/>
  <c r="AU52" i="5" s="1"/>
  <c r="AD233" i="5"/>
  <c r="AE510" i="5"/>
  <c r="AE467" i="5"/>
  <c r="AS233" i="5"/>
  <c r="AU233" i="5" s="1"/>
  <c r="AS396" i="5"/>
  <c r="AT396" i="5" s="1"/>
  <c r="AD169" i="5"/>
  <c r="AS510" i="5"/>
  <c r="AU510" i="5" s="1"/>
  <c r="AD467" i="5"/>
  <c r="AE299" i="5"/>
  <c r="AD396" i="5"/>
  <c r="AE397" i="5"/>
  <c r="AS443" i="5"/>
  <c r="AU443" i="5" s="1"/>
  <c r="AE373" i="5"/>
  <c r="AD448" i="5"/>
  <c r="AS364" i="5"/>
  <c r="AT364" i="5" s="1"/>
  <c r="AE215" i="5"/>
  <c r="AD215" i="5"/>
  <c r="AS549" i="5"/>
  <c r="AU549" i="5" s="1"/>
  <c r="AE557" i="5"/>
  <c r="AE448" i="5"/>
  <c r="AD364" i="5"/>
  <c r="AS56" i="5"/>
  <c r="AU56" i="5" s="1"/>
  <c r="AE370" i="5"/>
  <c r="AE107" i="5"/>
  <c r="AE57" i="5"/>
  <c r="AD39" i="5"/>
  <c r="AS191" i="5"/>
  <c r="AU191" i="5" s="1"/>
  <c r="AE172" i="5"/>
  <c r="AS490" i="5"/>
  <c r="AT490" i="5" s="1"/>
  <c r="AD464" i="5"/>
  <c r="AD373" i="5"/>
  <c r="AS539" i="5"/>
  <c r="AT539" i="5" s="1"/>
  <c r="AD443" i="5"/>
  <c r="AS550" i="5"/>
  <c r="AU550" i="5" s="1"/>
  <c r="AS503" i="5"/>
  <c r="AT503" i="5" s="1"/>
  <c r="AE490" i="5"/>
  <c r="AE539" i="5"/>
  <c r="AE550" i="5"/>
  <c r="AD290" i="5"/>
  <c r="AE464" i="5"/>
  <c r="AE252" i="5"/>
  <c r="AD96" i="5"/>
  <c r="AS154" i="5"/>
  <c r="AU154" i="5" s="1"/>
  <c r="AE290" i="5"/>
  <c r="AD370" i="5"/>
  <c r="AS230" i="5"/>
  <c r="AT230" i="5" s="1"/>
  <c r="AD252" i="5"/>
  <c r="AS96" i="5"/>
  <c r="AU96" i="5" s="1"/>
  <c r="AE154" i="5"/>
  <c r="AD542" i="5"/>
  <c r="AS457" i="5"/>
  <c r="AT457" i="5" s="1"/>
  <c r="AE457" i="5"/>
  <c r="AE230" i="5"/>
  <c r="AS542" i="5"/>
  <c r="AU542" i="5" s="1"/>
  <c r="AD191" i="5"/>
  <c r="AS57" i="5"/>
  <c r="AT57" i="5" s="1"/>
  <c r="AS207" i="5"/>
  <c r="AU207" i="5" s="1"/>
  <c r="AE207" i="5"/>
  <c r="AE212" i="5"/>
  <c r="AD284" i="5"/>
  <c r="AD212" i="5"/>
  <c r="AE418" i="5"/>
  <c r="AE85" i="5"/>
  <c r="AS196" i="5"/>
  <c r="AU196" i="5" s="1"/>
  <c r="AS352" i="5"/>
  <c r="AU352" i="5" s="1"/>
  <c r="AE161" i="5"/>
  <c r="AE64" i="5"/>
  <c r="AD547" i="5"/>
  <c r="AE288" i="5"/>
  <c r="AD187" i="5"/>
  <c r="AD435" i="5"/>
  <c r="AE305" i="5"/>
  <c r="AE187" i="5"/>
  <c r="AS435" i="5"/>
  <c r="AT435" i="5" s="1"/>
  <c r="AD305" i="5"/>
  <c r="AD71" i="5"/>
  <c r="AD315" i="5"/>
  <c r="AS315" i="5"/>
  <c r="AT315" i="5" s="1"/>
  <c r="AE250" i="5"/>
  <c r="AE156" i="5"/>
  <c r="AS346" i="5"/>
  <c r="AT346" i="5" s="1"/>
  <c r="AD149" i="5"/>
  <c r="AE312" i="5"/>
  <c r="AS124" i="5"/>
  <c r="AU124" i="5" s="1"/>
  <c r="AD367" i="5"/>
  <c r="AE124" i="5"/>
  <c r="AE526" i="5"/>
  <c r="AS307" i="5"/>
  <c r="AT307" i="5" s="1"/>
  <c r="AS211" i="5"/>
  <c r="AT211" i="5" s="1"/>
  <c r="AS526" i="5"/>
  <c r="AU526" i="5" s="1"/>
  <c r="AE531" i="5"/>
  <c r="AD312" i="5"/>
  <c r="AD225" i="5"/>
  <c r="AD159" i="5"/>
  <c r="AS330" i="5"/>
  <c r="AT330" i="5" s="1"/>
  <c r="AD485" i="5"/>
  <c r="AS419" i="5"/>
  <c r="AU419" i="5" s="1"/>
  <c r="AD330" i="5"/>
  <c r="AE485" i="5"/>
  <c r="AS139" i="5"/>
  <c r="AT139" i="5" s="1"/>
  <c r="AS185" i="5"/>
  <c r="AT185" i="5" s="1"/>
  <c r="AS519" i="5"/>
  <c r="AU519" i="5" s="1"/>
  <c r="AS227" i="5"/>
  <c r="AU227" i="5" s="1"/>
  <c r="AE246" i="5"/>
  <c r="AE224" i="5"/>
  <c r="AD47" i="5"/>
  <c r="AS487" i="5"/>
  <c r="AU487" i="5" s="1"/>
  <c r="AA124" i="4"/>
  <c r="AC124" i="4" s="1"/>
  <c r="AD124" i="4" s="1"/>
  <c r="AE487" i="5"/>
  <c r="AE326" i="5"/>
  <c r="AD167" i="5"/>
  <c r="AD28" i="5"/>
  <c r="AS326" i="5"/>
  <c r="AU326" i="5" s="1"/>
  <c r="AE118" i="5"/>
  <c r="AE176" i="5"/>
  <c r="AS407" i="5"/>
  <c r="AT407" i="5" s="1"/>
  <c r="AS39" i="5"/>
  <c r="AT39" i="5" s="1"/>
  <c r="AE98" i="5"/>
  <c r="AS172" i="5"/>
  <c r="AU172" i="5" s="1"/>
  <c r="AE284" i="5"/>
  <c r="AS547" i="5"/>
  <c r="AU547" i="5" s="1"/>
  <c r="AD488" i="5"/>
  <c r="AS418" i="5"/>
  <c r="AT418" i="5" s="1"/>
  <c r="AE196" i="5"/>
  <c r="AS357" i="5"/>
  <c r="AU357" i="5" s="1"/>
  <c r="AD358" i="5"/>
  <c r="AS98" i="5"/>
  <c r="AT98" i="5" s="1"/>
  <c r="AE488" i="5"/>
  <c r="AD357" i="5"/>
  <c r="AD144" i="5"/>
  <c r="AS322" i="5"/>
  <c r="AT322" i="5" s="1"/>
  <c r="AE144" i="5"/>
  <c r="AS107" i="5"/>
  <c r="AU107" i="5" s="1"/>
  <c r="AE352" i="5"/>
  <c r="AD85" i="5"/>
  <c r="AD322" i="5"/>
  <c r="AD161" i="5"/>
  <c r="AS64" i="5"/>
  <c r="AT64" i="5" s="1"/>
  <c r="AD8" i="5"/>
  <c r="AD139" i="5"/>
  <c r="AE346" i="5"/>
  <c r="AE423" i="5"/>
  <c r="AE185" i="5"/>
  <c r="AE419" i="5"/>
  <c r="AE159" i="5"/>
  <c r="AE227" i="5"/>
  <c r="AD37" i="5"/>
  <c r="AS246" i="5"/>
  <c r="AU246" i="5" s="1"/>
  <c r="AD524" i="5"/>
  <c r="AS423" i="5"/>
  <c r="AU423" i="5" s="1"/>
  <c r="AE37" i="5"/>
  <c r="AE524" i="5"/>
  <c r="AE319" i="5"/>
  <c r="AE100" i="5"/>
  <c r="AD319" i="5"/>
  <c r="AD273" i="5"/>
  <c r="AE442" i="5"/>
  <c r="AS225" i="5"/>
  <c r="AT225" i="5" s="1"/>
  <c r="AD100" i="5"/>
  <c r="AS273" i="5"/>
  <c r="AT273" i="5" s="1"/>
  <c r="AS281" i="5"/>
  <c r="AT281" i="5" s="1"/>
  <c r="AE408" i="5"/>
  <c r="AS442" i="5"/>
  <c r="AU442" i="5" s="1"/>
  <c r="AD281" i="5"/>
  <c r="AE535" i="5"/>
  <c r="AD86" i="5"/>
  <c r="AS535" i="5"/>
  <c r="AU535" i="5" s="1"/>
  <c r="AE489" i="5"/>
  <c r="AD489" i="5"/>
  <c r="AS224" i="5"/>
  <c r="AT224" i="5" s="1"/>
  <c r="AE61" i="5"/>
  <c r="AE355" i="5"/>
  <c r="AE430" i="5"/>
  <c r="AS61" i="5"/>
  <c r="AU61" i="5" s="1"/>
  <c r="AE177" i="5"/>
  <c r="AS28" i="5"/>
  <c r="AU28" i="5" s="1"/>
  <c r="AS355" i="5"/>
  <c r="AT355" i="5" s="1"/>
  <c r="AS430" i="5"/>
  <c r="AU430" i="5" s="1"/>
  <c r="AD256" i="5"/>
  <c r="AE337" i="5"/>
  <c r="AD389" i="5"/>
  <c r="AD56" i="5"/>
  <c r="AD307" i="5"/>
  <c r="AD211" i="5"/>
  <c r="AG103" i="4"/>
  <c r="AI103" i="4" s="1"/>
  <c r="AD87" i="5"/>
  <c r="AE493" i="5"/>
  <c r="AA19" i="4"/>
  <c r="AC19" i="4" s="1"/>
  <c r="AD19" i="4" s="1"/>
  <c r="AR19" i="4" s="1"/>
  <c r="AT19" i="4" s="1"/>
  <c r="AS493" i="5"/>
  <c r="AT493" i="5" s="1"/>
  <c r="AS195" i="5"/>
  <c r="AT195" i="5" s="1"/>
  <c r="AS92" i="5"/>
  <c r="AT92" i="5" s="1"/>
  <c r="AS190" i="5"/>
  <c r="AU190" i="5" s="1"/>
  <c r="AS30" i="5"/>
  <c r="AU30" i="5" s="1"/>
  <c r="AD195" i="5"/>
  <c r="AK103" i="4"/>
  <c r="AE190" i="5"/>
  <c r="AE30" i="5"/>
  <c r="AS41" i="5"/>
  <c r="AU41" i="5" s="1"/>
  <c r="AD439" i="5"/>
  <c r="AK85" i="4"/>
  <c r="AD192" i="5"/>
  <c r="AS86" i="5"/>
  <c r="AT86" i="5" s="1"/>
  <c r="AS177" i="5"/>
  <c r="AT177" i="5" s="1"/>
  <c r="AS164" i="5"/>
  <c r="AU164" i="5" s="1"/>
  <c r="AD164" i="5"/>
  <c r="AE461" i="5"/>
  <c r="AE192" i="5"/>
  <c r="AE347" i="5"/>
  <c r="AE146" i="5"/>
  <c r="AE41" i="5"/>
  <c r="AD51" i="5"/>
  <c r="AS527" i="5"/>
  <c r="AU527" i="5" s="1"/>
  <c r="AD337" i="5"/>
  <c r="AE87" i="5"/>
  <c r="AK82" i="4"/>
  <c r="AD461" i="5"/>
  <c r="AS367" i="5"/>
  <c r="AU367" i="5" s="1"/>
  <c r="AS51" i="5"/>
  <c r="AU51" i="5" s="1"/>
  <c r="AA120" i="4"/>
  <c r="AC120" i="4" s="1"/>
  <c r="AD120" i="4" s="1"/>
  <c r="AA99" i="4"/>
  <c r="AC99" i="4" s="1"/>
  <c r="AD99" i="4" s="1"/>
  <c r="AD527" i="5"/>
  <c r="AK153" i="4"/>
  <c r="AD408" i="5"/>
  <c r="AS389" i="5"/>
  <c r="AT389" i="5" s="1"/>
  <c r="AA103" i="4"/>
  <c r="AC103" i="4" s="1"/>
  <c r="AD103" i="4" s="1"/>
  <c r="AS368" i="5"/>
  <c r="AT368" i="5" s="1"/>
  <c r="AE368" i="5"/>
  <c r="AE63" i="5"/>
  <c r="AE131" i="5"/>
  <c r="AS131" i="5"/>
  <c r="AT131" i="5" s="1"/>
  <c r="AE167" i="5"/>
  <c r="AK81" i="4"/>
  <c r="AD347" i="5"/>
  <c r="AD146" i="5"/>
  <c r="AD63" i="5"/>
  <c r="AS439" i="5"/>
  <c r="AT439" i="5" s="1"/>
  <c r="AG97" i="4"/>
  <c r="AI97" i="4" s="1"/>
  <c r="AA45" i="4"/>
  <c r="AC45" i="4" s="1"/>
  <c r="AD45" i="4" s="1"/>
  <c r="AA102" i="4"/>
  <c r="AC102" i="4" s="1"/>
  <c r="AD102" i="4" s="1"/>
  <c r="AS156" i="5"/>
  <c r="AU156" i="5" s="1"/>
  <c r="AS71" i="5"/>
  <c r="AT71" i="5" s="1"/>
  <c r="AD170" i="5"/>
  <c r="AE170" i="5"/>
  <c r="AS250" i="5"/>
  <c r="AT250" i="5" s="1"/>
  <c r="AF32" i="4"/>
  <c r="AG32" i="4" s="1"/>
  <c r="AI32" i="4" s="1"/>
  <c r="AA122" i="4"/>
  <c r="AC122" i="4" s="1"/>
  <c r="AD122" i="4" s="1"/>
  <c r="AA74" i="4"/>
  <c r="AC74" i="4" s="1"/>
  <c r="AD74" i="4" s="1"/>
  <c r="AR74" i="4" s="1"/>
  <c r="AT74" i="4" s="1"/>
  <c r="AK45" i="4"/>
  <c r="AS415" i="5"/>
  <c r="AU415" i="5" s="1"/>
  <c r="AA60" i="4"/>
  <c r="AC60" i="4" s="1"/>
  <c r="AD60" i="4" s="1"/>
  <c r="AD415" i="5"/>
  <c r="AO45" i="4"/>
  <c r="AD516" i="5"/>
  <c r="AA82" i="4"/>
  <c r="AC82" i="4" s="1"/>
  <c r="AD82" i="4" s="1"/>
  <c r="AR82" i="4" s="1"/>
  <c r="AT82" i="4" s="1"/>
  <c r="AS516" i="5"/>
  <c r="AU516" i="5" s="1"/>
  <c r="AS152" i="5"/>
  <c r="AU152" i="5" s="1"/>
  <c r="AE152" i="5"/>
  <c r="AD288" i="5"/>
  <c r="AK74" i="4"/>
  <c r="AK71" i="4"/>
  <c r="AE149" i="5"/>
  <c r="AF120" i="4"/>
  <c r="AO120" i="4" s="1"/>
  <c r="AS531" i="5"/>
  <c r="AU531" i="5" s="1"/>
  <c r="AE554" i="5"/>
  <c r="AS334" i="5"/>
  <c r="AU334" i="5" s="1"/>
  <c r="AE256" i="5"/>
  <c r="AD554" i="5"/>
  <c r="AK120" i="4"/>
  <c r="AK19" i="4"/>
  <c r="AE258" i="5"/>
  <c r="AE276" i="5"/>
  <c r="AE328" i="5"/>
  <c r="AS358" i="5"/>
  <c r="AU358" i="5" s="1"/>
  <c r="AE519" i="5"/>
  <c r="AD92" i="5"/>
  <c r="AS372" i="5"/>
  <c r="AT372" i="5" s="1"/>
  <c r="AS276" i="5"/>
  <c r="AT276" i="5" s="1"/>
  <c r="AS507" i="5"/>
  <c r="AT507" i="5" s="1"/>
  <c r="AD258" i="5"/>
  <c r="AS328" i="5"/>
  <c r="AT328" i="5" s="1"/>
  <c r="AE507" i="5"/>
  <c r="AK80" i="4"/>
  <c r="AA81" i="4"/>
  <c r="AC81" i="4" s="1"/>
  <c r="AD81" i="4" s="1"/>
  <c r="AF52" i="4"/>
  <c r="AA52" i="4"/>
  <c r="AC52" i="4" s="1"/>
  <c r="AD52" i="4" s="1"/>
  <c r="AE431" i="5"/>
  <c r="AS89" i="5"/>
  <c r="AU89" i="5" s="1"/>
  <c r="AS47" i="5"/>
  <c r="AT47" i="5" s="1"/>
  <c r="AE474" i="5"/>
  <c r="AF116" i="4"/>
  <c r="AK116" i="4"/>
  <c r="AJ108" i="4"/>
  <c r="AK108" i="4"/>
  <c r="AO70" i="4"/>
  <c r="AG70" i="4"/>
  <c r="AI70" i="4" s="1"/>
  <c r="AS431" i="5"/>
  <c r="AU431" i="5" s="1"/>
  <c r="AE89" i="5"/>
  <c r="AS474" i="5"/>
  <c r="AT474" i="5" s="1"/>
  <c r="B93" i="2"/>
  <c r="B113" i="2" s="1"/>
  <c r="H25" i="1" s="1"/>
  <c r="AG44" i="4"/>
  <c r="AI44" i="4" s="1"/>
  <c r="AO44" i="4"/>
  <c r="AF137" i="4"/>
  <c r="AK137" i="4"/>
  <c r="AA137" i="4"/>
  <c r="AC137" i="4" s="1"/>
  <c r="AD137" i="4" s="1"/>
  <c r="AA126" i="4"/>
  <c r="AC126" i="4" s="1"/>
  <c r="AD126" i="4" s="1"/>
  <c r="AF126" i="4"/>
  <c r="AK126" i="4"/>
  <c r="AF95" i="4"/>
  <c r="AA95" i="4"/>
  <c r="AC95" i="4" s="1"/>
  <c r="AD95" i="4" s="1"/>
  <c r="AS545" i="5"/>
  <c r="AU545" i="5" s="1"/>
  <c r="AD109" i="5"/>
  <c r="AA117" i="4"/>
  <c r="AC117" i="4" s="1"/>
  <c r="AD117" i="4" s="1"/>
  <c r="AF86" i="4"/>
  <c r="AJ27" i="4"/>
  <c r="AA27" i="4"/>
  <c r="AC27" i="4" s="1"/>
  <c r="AD27" i="4" s="1"/>
  <c r="AR27" i="4" s="1"/>
  <c r="AT27" i="4" s="1"/>
  <c r="AK27" i="4"/>
  <c r="AF69" i="4"/>
  <c r="AK69" i="4"/>
  <c r="AA69" i="4"/>
  <c r="AC69" i="4" s="1"/>
  <c r="AD69" i="4" s="1"/>
  <c r="AE545" i="5"/>
  <c r="AE109" i="5"/>
  <c r="AD324" i="5"/>
  <c r="AA157" i="4"/>
  <c r="AC157" i="4" s="1"/>
  <c r="AD157" i="4" s="1"/>
  <c r="AF157" i="4"/>
  <c r="AK157" i="4"/>
  <c r="AF14" i="4"/>
  <c r="AF150" i="4"/>
  <c r="AA150" i="4"/>
  <c r="AC150" i="4" s="1"/>
  <c r="AD150" i="4" s="1"/>
  <c r="AK150" i="4"/>
  <c r="AA111" i="4"/>
  <c r="AC111" i="4" s="1"/>
  <c r="AD111" i="4" s="1"/>
  <c r="AS84" i="5"/>
  <c r="AT84" i="5" s="1"/>
  <c r="AE454" i="5"/>
  <c r="AA116" i="4"/>
  <c r="AC116" i="4" s="1"/>
  <c r="AD116" i="4" s="1"/>
  <c r="AJ116" i="4"/>
  <c r="AA71" i="4"/>
  <c r="AC71" i="4" s="1"/>
  <c r="AD71" i="4" s="1"/>
  <c r="AF54" i="4"/>
  <c r="AA54" i="4"/>
  <c r="AC54" i="4" s="1"/>
  <c r="AD54" i="4" s="1"/>
  <c r="AK54" i="4"/>
  <c r="AA44" i="4"/>
  <c r="AC44" i="4" s="1"/>
  <c r="AD44" i="4" s="1"/>
  <c r="AJ44" i="4"/>
  <c r="AK128" i="4"/>
  <c r="AF128" i="4"/>
  <c r="AA128" i="4"/>
  <c r="AC128" i="4" s="1"/>
  <c r="AD128" i="4" s="1"/>
  <c r="AK111" i="4"/>
  <c r="AF77" i="4"/>
  <c r="AA77" i="4"/>
  <c r="AC77" i="4" s="1"/>
  <c r="AD77" i="4" s="1"/>
  <c r="AK77" i="4"/>
  <c r="AE324" i="5"/>
  <c r="AE84" i="5"/>
  <c r="AD372" i="5"/>
  <c r="AK122" i="4"/>
  <c r="AD454" i="5"/>
  <c r="AO123" i="4"/>
  <c r="AG123" i="4"/>
  <c r="AI123" i="4" s="1"/>
  <c r="AA108" i="4"/>
  <c r="AC108" i="4" s="1"/>
  <c r="AD108" i="4" s="1"/>
  <c r="AA8" i="4"/>
  <c r="AC8" i="4" s="1"/>
  <c r="AD8" i="4" s="1"/>
  <c r="AF8" i="4"/>
  <c r="AK8" i="4"/>
  <c r="AA134" i="4"/>
  <c r="AC134" i="4" s="1"/>
  <c r="AD134" i="4" s="1"/>
  <c r="AF134" i="4"/>
  <c r="AK134" i="4"/>
  <c r="AA93" i="4"/>
  <c r="AC93" i="4" s="1"/>
  <c r="AD93" i="4" s="1"/>
  <c r="AF93" i="4"/>
  <c r="AK93" i="4"/>
  <c r="AO111" i="4"/>
  <c r="AG111" i="4"/>
  <c r="AI111" i="4" s="1"/>
  <c r="AK52" i="4"/>
  <c r="AA80" i="4"/>
  <c r="AC80" i="4" s="1"/>
  <c r="AD80" i="4" s="1"/>
  <c r="AK47" i="4"/>
  <c r="AF47" i="4"/>
  <c r="AA47" i="4"/>
  <c r="AC47" i="4" s="1"/>
  <c r="AD47" i="4" s="1"/>
  <c r="AF135" i="4"/>
  <c r="AJ70" i="4"/>
  <c r="AA70" i="4"/>
  <c r="AC70" i="4" s="1"/>
  <c r="AD70" i="4" s="1"/>
  <c r="AF23" i="4"/>
  <c r="AA23" i="4"/>
  <c r="AC23" i="4" s="1"/>
  <c r="AD23" i="4" s="1"/>
  <c r="AK23" i="4"/>
  <c r="AD118" i="5"/>
  <c r="AS242" i="5"/>
  <c r="AU242" i="5" s="1"/>
  <c r="AE91" i="5"/>
  <c r="AE242" i="5"/>
  <c r="AE484" i="5"/>
  <c r="AS88" i="5"/>
  <c r="AU88" i="5" s="1"/>
  <c r="AD91" i="5"/>
  <c r="AS497" i="5"/>
  <c r="AU497" i="5" s="1"/>
  <c r="AD484" i="5"/>
  <c r="AD88" i="5"/>
  <c r="AD497" i="5"/>
  <c r="AD503" i="5"/>
  <c r="AE9" i="5"/>
  <c r="AS9" i="5"/>
  <c r="AD9" i="5"/>
  <c r="AO85" i="4"/>
  <c r="AK89" i="4"/>
  <c r="AK65" i="4"/>
  <c r="AO81" i="4"/>
  <c r="AA151" i="4"/>
  <c r="AC151" i="4" s="1"/>
  <c r="AD151" i="4" s="1"/>
  <c r="AR151" i="4" s="1"/>
  <c r="AT151" i="4" s="1"/>
  <c r="AG49" i="4"/>
  <c r="AI49" i="4" s="1"/>
  <c r="AA153" i="4"/>
  <c r="AC153" i="4" s="1"/>
  <c r="AD153" i="4" s="1"/>
  <c r="AK117" i="4"/>
  <c r="AK151" i="4"/>
  <c r="AG114" i="4"/>
  <c r="AI114" i="4" s="1"/>
  <c r="AK124" i="4"/>
  <c r="AK13" i="4"/>
  <c r="AG43" i="4"/>
  <c r="AI43" i="4" s="1"/>
  <c r="AA13" i="4"/>
  <c r="AC13" i="4" s="1"/>
  <c r="AD13" i="4" s="1"/>
  <c r="AO17" i="4"/>
  <c r="AK92" i="4"/>
  <c r="AA65" i="4"/>
  <c r="AC65" i="4" s="1"/>
  <c r="AD65" i="4" s="1"/>
  <c r="AG149" i="4"/>
  <c r="AI149" i="4" s="1"/>
  <c r="AK51" i="4"/>
  <c r="AA89" i="4"/>
  <c r="AC89" i="4" s="1"/>
  <c r="AD89" i="4" s="1"/>
  <c r="AR89" i="4" s="1"/>
  <c r="AT89" i="4" s="1"/>
  <c r="AA17" i="4"/>
  <c r="AC17" i="4" s="1"/>
  <c r="AD17" i="4" s="1"/>
  <c r="AK136" i="4"/>
  <c r="AG139" i="4"/>
  <c r="AI139" i="4" s="1"/>
  <c r="AR139" i="4" s="1"/>
  <c r="AT139" i="4" s="1"/>
  <c r="AA92" i="4"/>
  <c r="AC92" i="4" s="1"/>
  <c r="AD92" i="4" s="1"/>
  <c r="AK97" i="4"/>
  <c r="AK17" i="4"/>
  <c r="AA51" i="4"/>
  <c r="AC51" i="4" s="1"/>
  <c r="AD51" i="4" s="1"/>
  <c r="AK55" i="4"/>
  <c r="AA97" i="4"/>
  <c r="AC97" i="4" s="1"/>
  <c r="AD97" i="4" s="1"/>
  <c r="AA136" i="4"/>
  <c r="AC136" i="4" s="1"/>
  <c r="AD136" i="4" s="1"/>
  <c r="AR136" i="4" s="1"/>
  <c r="AT136" i="4" s="1"/>
  <c r="AA85" i="4"/>
  <c r="AC85" i="4" s="1"/>
  <c r="AD85" i="4" s="1"/>
  <c r="AA90" i="4"/>
  <c r="AC90" i="4" s="1"/>
  <c r="AD90" i="4" s="1"/>
  <c r="AK138" i="4"/>
  <c r="AJ25" i="4"/>
  <c r="AA25" i="4"/>
  <c r="AC25" i="4" s="1"/>
  <c r="AD25" i="4" s="1"/>
  <c r="AR25" i="4" s="1"/>
  <c r="AT25" i="4" s="1"/>
  <c r="AA113" i="4"/>
  <c r="AC113" i="4" s="1"/>
  <c r="AD113" i="4" s="1"/>
  <c r="AA114" i="4"/>
  <c r="AC114" i="4" s="1"/>
  <c r="AD114" i="4" s="1"/>
  <c r="AA138" i="4"/>
  <c r="AC138" i="4" s="1"/>
  <c r="AD138" i="4" s="1"/>
  <c r="AJ104" i="4"/>
  <c r="AA104" i="4"/>
  <c r="AC104" i="4" s="1"/>
  <c r="AD104" i="4" s="1"/>
  <c r="AK114" i="4"/>
  <c r="AK16" i="4"/>
  <c r="AJ41" i="4"/>
  <c r="AA41" i="4"/>
  <c r="AC41" i="4" s="1"/>
  <c r="AD41" i="4" s="1"/>
  <c r="AR41" i="4" s="1"/>
  <c r="AT41" i="4" s="1"/>
  <c r="AA55" i="4"/>
  <c r="AC55" i="4" s="1"/>
  <c r="AD55" i="4" s="1"/>
  <c r="AK113" i="4"/>
  <c r="AA131" i="4"/>
  <c r="AC131" i="4" s="1"/>
  <c r="AD131" i="4" s="1"/>
  <c r="AR98" i="4"/>
  <c r="AT98" i="4" s="1"/>
  <c r="AR36" i="4"/>
  <c r="AT36" i="4" s="1"/>
  <c r="AO48" i="4"/>
  <c r="AG48" i="4"/>
  <c r="AI48" i="4" s="1"/>
  <c r="AG131" i="4"/>
  <c r="AI131" i="4" s="1"/>
  <c r="AO131" i="4"/>
  <c r="AG90" i="4"/>
  <c r="AI90" i="4" s="1"/>
  <c r="AO90" i="4"/>
  <c r="AG117" i="4"/>
  <c r="AI117" i="4" s="1"/>
  <c r="AO117" i="4"/>
  <c r="AT7" i="5"/>
  <c r="AU7" i="5"/>
  <c r="AT83" i="5"/>
  <c r="AU83" i="5"/>
  <c r="AT146" i="5"/>
  <c r="AU146" i="5"/>
  <c r="AO57" i="4"/>
  <c r="AG57" i="4"/>
  <c r="AI57" i="4" s="1"/>
  <c r="AU500" i="5"/>
  <c r="AT500" i="5"/>
  <c r="AU294" i="5"/>
  <c r="AT294" i="5"/>
  <c r="AF73" i="4"/>
  <c r="AK73" i="4"/>
  <c r="AJ28" i="4"/>
  <c r="AK28" i="4"/>
  <c r="AJ36" i="4"/>
  <c r="AK36" i="4"/>
  <c r="AT109" i="5"/>
  <c r="AU109" i="5"/>
  <c r="AT337" i="5"/>
  <c r="AU337" i="5"/>
  <c r="AG104" i="4"/>
  <c r="AI104" i="4" s="1"/>
  <c r="AO104" i="4"/>
  <c r="AT434" i="5"/>
  <c r="AU434" i="5"/>
  <c r="AU424" i="5"/>
  <c r="AT424" i="5"/>
  <c r="AU171" i="5"/>
  <c r="AT171" i="5"/>
  <c r="AJ154" i="4"/>
  <c r="AK154" i="4"/>
  <c r="AT208" i="5"/>
  <c r="AU208" i="5"/>
  <c r="AU118" i="5"/>
  <c r="AT118" i="5"/>
  <c r="AG138" i="4"/>
  <c r="AI138" i="4" s="1"/>
  <c r="AO138" i="4"/>
  <c r="AT317" i="5"/>
  <c r="AU317" i="5"/>
  <c r="AJ115" i="4"/>
  <c r="AK115" i="4"/>
  <c r="AT461" i="5"/>
  <c r="AU461" i="5"/>
  <c r="AU159" i="5"/>
  <c r="AT159" i="5"/>
  <c r="AU303" i="5"/>
  <c r="AT303" i="5"/>
  <c r="AT520" i="5"/>
  <c r="AU520" i="5"/>
  <c r="AT347" i="5"/>
  <c r="AU347" i="5"/>
  <c r="AO33" i="4"/>
  <c r="AG33" i="4"/>
  <c r="AI33" i="4" s="1"/>
  <c r="AT101" i="5"/>
  <c r="AU101" i="5"/>
  <c r="AU495" i="5"/>
  <c r="AT495" i="5"/>
  <c r="AJ119" i="4"/>
  <c r="AK119" i="4"/>
  <c r="AT544" i="5"/>
  <c r="AU544" i="5"/>
  <c r="AT33" i="5"/>
  <c r="AU33" i="5"/>
  <c r="AU413" i="5"/>
  <c r="AT413" i="5"/>
  <c r="AU279" i="5"/>
  <c r="AT279" i="5"/>
  <c r="AJ32" i="4"/>
  <c r="AK32" i="4"/>
  <c r="AA16" i="4"/>
  <c r="AC16" i="4" s="1"/>
  <c r="AD16" i="4" s="1"/>
  <c r="AG51" i="4"/>
  <c r="AI51" i="4" s="1"/>
  <c r="AO51" i="4"/>
  <c r="AU135" i="5"/>
  <c r="AT135" i="5"/>
  <c r="AU251" i="5"/>
  <c r="AT251" i="5"/>
  <c r="AT180" i="5"/>
  <c r="AU180" i="5"/>
  <c r="AE13" i="5"/>
  <c r="AD13" i="5"/>
  <c r="AS13" i="5"/>
  <c r="AJ131" i="4"/>
  <c r="AK131" i="4"/>
  <c r="AO147" i="4"/>
  <c r="AG147" i="4"/>
  <c r="AI147" i="4" s="1"/>
  <c r="AO60" i="4"/>
  <c r="AG60" i="4"/>
  <c r="AI60" i="4" s="1"/>
  <c r="AU173" i="5"/>
  <c r="AT173" i="5"/>
  <c r="AJ78" i="4"/>
  <c r="AK78" i="4"/>
  <c r="AU183" i="5"/>
  <c r="AT183" i="5"/>
  <c r="AX182" i="5" s="1"/>
  <c r="AY182" i="5" s="1"/>
  <c r="AT392" i="5"/>
  <c r="AU392" i="5"/>
  <c r="AT464" i="5"/>
  <c r="AU464" i="5"/>
  <c r="AJ139" i="4"/>
  <c r="AK139" i="4"/>
  <c r="AG121" i="4"/>
  <c r="AI121" i="4" s="1"/>
  <c r="AO121" i="4"/>
  <c r="AU100" i="5"/>
  <c r="AT100" i="5"/>
  <c r="AT160" i="5"/>
  <c r="AU160" i="5"/>
  <c r="AU167" i="5"/>
  <c r="AT167" i="5"/>
  <c r="AT286" i="5"/>
  <c r="AU286" i="5"/>
  <c r="AU362" i="5"/>
  <c r="AT362" i="5"/>
  <c r="AO107" i="4"/>
  <c r="AG107" i="4"/>
  <c r="AI107" i="4" s="1"/>
  <c r="AJ121" i="4"/>
  <c r="AK121" i="4"/>
  <c r="AT479" i="5"/>
  <c r="AU479" i="5"/>
  <c r="AG153" i="4"/>
  <c r="AI153" i="4" s="1"/>
  <c r="AO153" i="4"/>
  <c r="AR112" i="4"/>
  <c r="AT112" i="4" s="1"/>
  <c r="AT454" i="5"/>
  <c r="AU454" i="5"/>
  <c r="AT34" i="5"/>
  <c r="AU34" i="5"/>
  <c r="AO80" i="4"/>
  <c r="AG80" i="4"/>
  <c r="AI80" i="4" s="1"/>
  <c r="AT187" i="5"/>
  <c r="AU187" i="5"/>
  <c r="AT223" i="5"/>
  <c r="AU223" i="5"/>
  <c r="AU449" i="5"/>
  <c r="AT449" i="5"/>
  <c r="AT181" i="5"/>
  <c r="AU181" i="5"/>
  <c r="AT206" i="5"/>
  <c r="AU206" i="5"/>
  <c r="AU481" i="5"/>
  <c r="AT481" i="5"/>
  <c r="AU136" i="5"/>
  <c r="AT136" i="5"/>
  <c r="AG13" i="4"/>
  <c r="AI13" i="4" s="1"/>
  <c r="AO13" i="4"/>
  <c r="AU258" i="5"/>
  <c r="AT258" i="5"/>
  <c r="AX257" i="5" s="1"/>
  <c r="AY257" i="5" s="1"/>
  <c r="AT397" i="5"/>
  <c r="AU397" i="5"/>
  <c r="AU252" i="5"/>
  <c r="AT252" i="5"/>
  <c r="AJ147" i="4"/>
  <c r="AK147" i="4"/>
  <c r="AU254" i="5"/>
  <c r="AT254" i="5"/>
  <c r="AU365" i="5"/>
  <c r="AT365" i="5"/>
  <c r="AU85" i="5"/>
  <c r="AT85" i="5"/>
  <c r="AU165" i="5"/>
  <c r="AT165" i="5"/>
  <c r="AG113" i="4"/>
  <c r="AI113" i="4" s="1"/>
  <c r="AO113" i="4"/>
  <c r="AT448" i="5"/>
  <c r="AU448" i="5"/>
  <c r="AT161" i="5"/>
  <c r="AU161" i="5"/>
  <c r="AJ110" i="4"/>
  <c r="AK110" i="4"/>
  <c r="AT331" i="5"/>
  <c r="AU331" i="5"/>
  <c r="AU395" i="5"/>
  <c r="AT395" i="5"/>
  <c r="AT282" i="5"/>
  <c r="AU282" i="5"/>
  <c r="AT192" i="5"/>
  <c r="AU192" i="5"/>
  <c r="AU456" i="5"/>
  <c r="AT456" i="5"/>
  <c r="AU329" i="5"/>
  <c r="AT329" i="5"/>
  <c r="AU515" i="5"/>
  <c r="AT515" i="5"/>
  <c r="AT43" i="5"/>
  <c r="AU43" i="5"/>
  <c r="AU538" i="5"/>
  <c r="AT538" i="5"/>
  <c r="AT521" i="5"/>
  <c r="AU521" i="5"/>
  <c r="AU408" i="5"/>
  <c r="AT408" i="5"/>
  <c r="AU274" i="5"/>
  <c r="AT274" i="5"/>
  <c r="AG129" i="4"/>
  <c r="AI129" i="4" s="1"/>
  <c r="AO129" i="4"/>
  <c r="AO88" i="4"/>
  <c r="AG88" i="4"/>
  <c r="AI88" i="4" s="1"/>
  <c r="AU142" i="5"/>
  <c r="AT142" i="5"/>
  <c r="AU333" i="5"/>
  <c r="AT333" i="5"/>
  <c r="AT221" i="5"/>
  <c r="AU221" i="5"/>
  <c r="AT170" i="5"/>
  <c r="AU170" i="5"/>
  <c r="AU460" i="5"/>
  <c r="AT460" i="5"/>
  <c r="AU253" i="5"/>
  <c r="AT253" i="5"/>
  <c r="AJ88" i="4"/>
  <c r="AK88" i="4"/>
  <c r="AT298" i="5"/>
  <c r="AU298" i="5"/>
  <c r="AG99" i="4"/>
  <c r="AI99" i="4" s="1"/>
  <c r="AO99" i="4"/>
  <c r="AO124" i="4"/>
  <c r="AG124" i="4"/>
  <c r="AI124" i="4" s="1"/>
  <c r="AT554" i="5"/>
  <c r="AU554" i="5"/>
  <c r="AG145" i="4"/>
  <c r="AI145" i="4" s="1"/>
  <c r="AO145" i="4"/>
  <c r="AJ56" i="4"/>
  <c r="AK56" i="4"/>
  <c r="AT491" i="5"/>
  <c r="AU491" i="5"/>
  <c r="AJ149" i="4"/>
  <c r="AK149" i="4"/>
  <c r="AU348" i="5"/>
  <c r="AT348" i="5"/>
  <c r="AT485" i="5"/>
  <c r="AU485" i="5"/>
  <c r="AU87" i="5"/>
  <c r="AT87" i="5"/>
  <c r="AU432" i="5"/>
  <c r="AT432" i="5"/>
  <c r="AJ146" i="4"/>
  <c r="AK146" i="4"/>
  <c r="AG56" i="4"/>
  <c r="AI56" i="4" s="1"/>
  <c r="AO56" i="4"/>
  <c r="AU467" i="5"/>
  <c r="AT467" i="5"/>
  <c r="AT269" i="5"/>
  <c r="AU269" i="5"/>
  <c r="AJ156" i="4"/>
  <c r="AK156" i="4"/>
  <c r="AU121" i="5"/>
  <c r="AT121" i="5"/>
  <c r="AU288" i="5"/>
  <c r="AT288" i="5"/>
  <c r="AU203" i="5"/>
  <c r="AT203" i="5"/>
  <c r="AU488" i="5"/>
  <c r="AT488" i="5"/>
  <c r="AU429" i="5"/>
  <c r="AT429" i="5"/>
  <c r="AU260" i="5"/>
  <c r="AT260" i="5"/>
  <c r="AT290" i="5"/>
  <c r="AU290" i="5"/>
  <c r="AT37" i="5"/>
  <c r="AU37" i="5"/>
  <c r="AJ106" i="4"/>
  <c r="AK106" i="4"/>
  <c r="AU40" i="5"/>
  <c r="AT40" i="5"/>
  <c r="AU144" i="5"/>
  <c r="AT144" i="5"/>
  <c r="AA11" i="4"/>
  <c r="AC11" i="4" s="1"/>
  <c r="AD11" i="4" s="1"/>
  <c r="AT557" i="5"/>
  <c r="AU557" i="5"/>
  <c r="AU482" i="5"/>
  <c r="AT482" i="5"/>
  <c r="AT176" i="5"/>
  <c r="AX175" i="5" s="1"/>
  <c r="AY175" i="5" s="1"/>
  <c r="AU176" i="5"/>
  <c r="AU311" i="5"/>
  <c r="AT311" i="5"/>
  <c r="AT149" i="5"/>
  <c r="AU149" i="5"/>
  <c r="AJ33" i="4"/>
  <c r="AK33" i="4"/>
  <c r="AU471" i="5"/>
  <c r="AT471" i="5"/>
  <c r="AG146" i="4"/>
  <c r="AI146" i="4" s="1"/>
  <c r="AO146" i="4"/>
  <c r="AU341" i="5"/>
  <c r="AT341" i="5"/>
  <c r="AO42" i="4"/>
  <c r="AG42" i="4"/>
  <c r="AI42" i="4" s="1"/>
  <c r="AU338" i="5"/>
  <c r="AT338" i="5"/>
  <c r="AU498" i="5"/>
  <c r="AT498" i="5"/>
  <c r="AU417" i="5"/>
  <c r="AT417" i="5"/>
  <c r="AG28" i="4"/>
  <c r="AI28" i="4" s="1"/>
  <c r="AO28" i="4"/>
  <c r="AT275" i="5"/>
  <c r="AU275" i="5"/>
  <c r="AU422" i="5"/>
  <c r="AT422" i="5"/>
  <c r="AT343" i="5"/>
  <c r="AU343" i="5"/>
  <c r="AU280" i="5"/>
  <c r="AT280" i="5"/>
  <c r="AU319" i="5"/>
  <c r="AT319" i="5"/>
  <c r="AT74" i="5"/>
  <c r="AU74" i="5"/>
  <c r="AT465" i="5"/>
  <c r="AU465" i="5"/>
  <c r="AG29" i="4"/>
  <c r="AI29" i="4" s="1"/>
  <c r="AO29" i="4"/>
  <c r="AU427" i="5"/>
  <c r="AT427" i="5"/>
  <c r="AU268" i="5"/>
  <c r="AT268" i="5"/>
  <c r="AT304" i="5"/>
  <c r="AU304" i="5"/>
  <c r="AU386" i="5"/>
  <c r="AT386" i="5"/>
  <c r="AG154" i="4"/>
  <c r="AI154" i="4" s="1"/>
  <c r="AO154" i="4"/>
  <c r="AT70" i="5"/>
  <c r="AU70" i="5"/>
  <c r="AT339" i="5"/>
  <c r="AU339" i="5"/>
  <c r="AU342" i="5"/>
  <c r="AT342" i="5"/>
  <c r="AU256" i="5"/>
  <c r="AT256" i="5"/>
  <c r="AG15" i="4"/>
  <c r="AI15" i="4" s="1"/>
  <c r="AO15" i="4"/>
  <c r="AK11" i="4"/>
  <c r="AT296" i="5"/>
  <c r="AU296" i="5"/>
  <c r="AU489" i="5"/>
  <c r="AT489" i="5"/>
  <c r="AU232" i="5"/>
  <c r="AT232" i="5"/>
  <c r="AU262" i="5"/>
  <c r="AT262" i="5"/>
  <c r="AU499" i="5"/>
  <c r="AT499" i="5"/>
  <c r="AJ90" i="4"/>
  <c r="AK90" i="4"/>
  <c r="AJ112" i="4"/>
  <c r="AK112" i="4"/>
  <c r="AU216" i="5"/>
  <c r="AT216" i="5"/>
  <c r="AU130" i="5"/>
  <c r="AT130" i="5"/>
  <c r="AO115" i="4"/>
  <c r="AG115" i="4"/>
  <c r="AI115" i="4" s="1"/>
  <c r="AT69" i="5"/>
  <c r="AU69" i="5"/>
  <c r="AU189" i="5"/>
  <c r="AT189" i="5"/>
  <c r="AJ43" i="4"/>
  <c r="AK43" i="4"/>
  <c r="AG92" i="4"/>
  <c r="AI92" i="4" s="1"/>
  <c r="AO92" i="4"/>
  <c r="AG119" i="4"/>
  <c r="AI119" i="4" s="1"/>
  <c r="AO119" i="4"/>
  <c r="AG65" i="4"/>
  <c r="AI65" i="4" s="1"/>
  <c r="AO65" i="4"/>
  <c r="AG110" i="4"/>
  <c r="AI110" i="4" s="1"/>
  <c r="AO110" i="4"/>
  <c r="AJ50" i="4"/>
  <c r="AK50" i="4"/>
  <c r="AJ87" i="4"/>
  <c r="AK87" i="4"/>
  <c r="AU433" i="5"/>
  <c r="AT433" i="5"/>
  <c r="AT356" i="5"/>
  <c r="AU356" i="5"/>
  <c r="AU123" i="5"/>
  <c r="AT123" i="5"/>
  <c r="AT506" i="5"/>
  <c r="AU506" i="5"/>
  <c r="AO55" i="4"/>
  <c r="AG55" i="4"/>
  <c r="AI55" i="4" s="1"/>
  <c r="AU373" i="5"/>
  <c r="AT373" i="5"/>
  <c r="AJ42" i="4"/>
  <c r="AK42" i="4"/>
  <c r="AU215" i="5"/>
  <c r="AT215" i="5"/>
  <c r="AT484" i="5"/>
  <c r="AU484" i="5"/>
  <c r="AT332" i="5"/>
  <c r="AU332" i="5"/>
  <c r="AU151" i="5"/>
  <c r="AT151" i="5"/>
  <c r="AT436" i="5"/>
  <c r="AU436" i="5"/>
  <c r="AU399" i="5"/>
  <c r="AT399" i="5"/>
  <c r="AJ49" i="4"/>
  <c r="AK49" i="4"/>
  <c r="AT553" i="5"/>
  <c r="AU553" i="5"/>
  <c r="AT63" i="5"/>
  <c r="AU63" i="5"/>
  <c r="AT450" i="5"/>
  <c r="AU450" i="5"/>
  <c r="AU524" i="5"/>
  <c r="AT524" i="5"/>
  <c r="AR78" i="4"/>
  <c r="AT78" i="4" s="1"/>
  <c r="AG11" i="4"/>
  <c r="AI11" i="4" s="1"/>
  <c r="AO11" i="4"/>
  <c r="AT536" i="5"/>
  <c r="AU536" i="5"/>
  <c r="AU91" i="5"/>
  <c r="AT91" i="5"/>
  <c r="AU380" i="5"/>
  <c r="AT380" i="5"/>
  <c r="AU324" i="5"/>
  <c r="AT324" i="5"/>
  <c r="AT237" i="5"/>
  <c r="AU237" i="5"/>
  <c r="AU80" i="5"/>
  <c r="AT80" i="5"/>
  <c r="AQ13" i="5"/>
  <c r="AR13" i="5"/>
  <c r="AU59" i="5"/>
  <c r="AT59" i="5"/>
  <c r="AJ107" i="4"/>
  <c r="AK107" i="4"/>
  <c r="AT261" i="5"/>
  <c r="AU261" i="5"/>
  <c r="AU125" i="5"/>
  <c r="AT125" i="5"/>
  <c r="AU305" i="5"/>
  <c r="AT305" i="5"/>
  <c r="AG122" i="4"/>
  <c r="AI122" i="4" s="1"/>
  <c r="AO122" i="4"/>
  <c r="AT117" i="5"/>
  <c r="AU117" i="5"/>
  <c r="AT543" i="5"/>
  <c r="AU543" i="5"/>
  <c r="AU38" i="5"/>
  <c r="AT38" i="5"/>
  <c r="AG50" i="4"/>
  <c r="AI50" i="4" s="1"/>
  <c r="AO50" i="4"/>
  <c r="AU241" i="5"/>
  <c r="AT241" i="5"/>
  <c r="AU312" i="5"/>
  <c r="AT312" i="5"/>
  <c r="AT284" i="5"/>
  <c r="AU284" i="5"/>
  <c r="AU381" i="5"/>
  <c r="AT381" i="5"/>
  <c r="AU212" i="5"/>
  <c r="AT212" i="5"/>
  <c r="AT445" i="5"/>
  <c r="AU445" i="5"/>
  <c r="AT112" i="5"/>
  <c r="AU112" i="5"/>
  <c r="AU370" i="5"/>
  <c r="AT370" i="5"/>
  <c r="AU133" i="5"/>
  <c r="AT133" i="5"/>
  <c r="AG156" i="4"/>
  <c r="AI156" i="4" s="1"/>
  <c r="AO156" i="4"/>
  <c r="AT266" i="5"/>
  <c r="AU266" i="5"/>
  <c r="AO16" i="4"/>
  <c r="AG16" i="4"/>
  <c r="AI16" i="4" s="1"/>
  <c r="AK60" i="4" l="1"/>
  <c r="AA64" i="4"/>
  <c r="AC64" i="4" s="1"/>
  <c r="AD64" i="4" s="1"/>
  <c r="AA68" i="4"/>
  <c r="AC68" i="4" s="1"/>
  <c r="AD68" i="4" s="1"/>
  <c r="AK9" i="4"/>
  <c r="AK29" i="4"/>
  <c r="AK68" i="4"/>
  <c r="AO68" i="4"/>
  <c r="AJ29" i="4"/>
  <c r="AA9" i="4"/>
  <c r="AC9" i="4" s="1"/>
  <c r="AD9" i="4" s="1"/>
  <c r="AR9" i="4" s="1"/>
  <c r="AT9" i="4" s="1"/>
  <c r="AA86" i="4"/>
  <c r="AC86" i="4" s="1"/>
  <c r="AD86" i="4" s="1"/>
  <c r="AA63" i="4"/>
  <c r="AC63" i="4" s="1"/>
  <c r="AD63" i="4" s="1"/>
  <c r="AF64" i="4"/>
  <c r="AO64" i="4" s="1"/>
  <c r="AR53" i="4"/>
  <c r="AT53" i="4" s="1"/>
  <c r="AK53" i="4"/>
  <c r="AJ53" i="4"/>
  <c r="AJ48" i="4"/>
  <c r="AR71" i="4"/>
  <c r="AT71" i="4" s="1"/>
  <c r="AK100" i="4"/>
  <c r="AA48" i="4"/>
  <c r="AC48" i="4" s="1"/>
  <c r="AD48" i="4" s="1"/>
  <c r="AR48" i="4" s="1"/>
  <c r="AT48" i="4" s="1"/>
  <c r="AK102" i="4"/>
  <c r="AF63" i="4"/>
  <c r="AO63" i="4" s="1"/>
  <c r="AR31" i="4"/>
  <c r="AT31" i="4" s="1"/>
  <c r="AR49" i="4"/>
  <c r="AT49" i="4" s="1"/>
  <c r="AK63" i="4"/>
  <c r="AK118" i="4"/>
  <c r="AA75" i="4"/>
  <c r="AC75" i="4" s="1"/>
  <c r="AD75" i="4" s="1"/>
  <c r="AR75" i="4" s="1"/>
  <c r="AT75" i="4" s="1"/>
  <c r="AK38" i="4"/>
  <c r="AK31" i="4"/>
  <c r="AJ118" i="4"/>
  <c r="AJ31" i="4"/>
  <c r="AA100" i="4"/>
  <c r="AC100" i="4" s="1"/>
  <c r="AD100" i="4" s="1"/>
  <c r="AA66" i="4"/>
  <c r="AC66" i="4" s="1"/>
  <c r="AD66" i="4" s="1"/>
  <c r="AK95" i="4"/>
  <c r="AA38" i="4"/>
  <c r="AC38" i="4" s="1"/>
  <c r="AD38" i="4" s="1"/>
  <c r="AK91" i="4"/>
  <c r="AR102" i="4"/>
  <c r="AT102" i="4" s="1"/>
  <c r="AO118" i="4"/>
  <c r="AR118" i="4" s="1"/>
  <c r="AT118" i="4" s="1"/>
  <c r="AF91" i="4"/>
  <c r="AO91" i="4" s="1"/>
  <c r="AK75" i="4"/>
  <c r="AK123" i="4"/>
  <c r="AK30" i="4"/>
  <c r="AA30" i="4"/>
  <c r="AC30" i="4" s="1"/>
  <c r="AD30" i="4" s="1"/>
  <c r="AR30" i="4" s="1"/>
  <c r="AT30" i="4" s="1"/>
  <c r="AA7" i="4"/>
  <c r="AC7" i="4" s="1"/>
  <c r="AD7" i="4" s="1"/>
  <c r="AK7" i="4"/>
  <c r="AU459" i="5"/>
  <c r="AK127" i="4"/>
  <c r="AA127" i="4"/>
  <c r="AC127" i="4" s="1"/>
  <c r="AD127" i="4" s="1"/>
  <c r="AK86" i="4"/>
  <c r="AK18" i="4"/>
  <c r="AA18" i="4"/>
  <c r="AC18" i="4" s="1"/>
  <c r="AD18" i="4" s="1"/>
  <c r="AR18" i="4" s="1"/>
  <c r="AT18" i="4" s="1"/>
  <c r="AU537" i="5"/>
  <c r="AT264" i="5"/>
  <c r="AX264" i="5" s="1"/>
  <c r="AY264" i="5" s="1"/>
  <c r="AT371" i="5"/>
  <c r="AX370" i="5" s="1"/>
  <c r="AY370" i="5" s="1"/>
  <c r="AT508" i="5"/>
  <c r="AX508" i="5" s="1"/>
  <c r="AY508" i="5" s="1"/>
  <c r="AT546" i="5"/>
  <c r="AU512" i="5"/>
  <c r="AA76" i="4"/>
  <c r="AC76" i="4" s="1"/>
  <c r="AD76" i="4" s="1"/>
  <c r="AK35" i="4"/>
  <c r="AF76" i="4"/>
  <c r="AG76" i="4" s="1"/>
  <c r="AI76" i="4" s="1"/>
  <c r="AA35" i="4"/>
  <c r="AC35" i="4" s="1"/>
  <c r="AD35" i="4" s="1"/>
  <c r="AT234" i="5"/>
  <c r="AU379" i="5"/>
  <c r="AT522" i="5"/>
  <c r="AX521" i="5" s="1"/>
  <c r="AY521" i="5" s="1"/>
  <c r="AX115" i="5"/>
  <c r="AY115" i="5" s="1"/>
  <c r="AU446" i="5"/>
  <c r="AU525" i="5"/>
  <c r="AT523" i="5"/>
  <c r="AX523" i="5" s="1"/>
  <c r="AY523" i="5" s="1"/>
  <c r="AT376" i="5"/>
  <c r="AX375" i="5" s="1"/>
  <c r="AX45" i="5"/>
  <c r="AY45" i="5" s="1"/>
  <c r="AK12" i="4"/>
  <c r="AU426" i="5"/>
  <c r="AU49" i="5"/>
  <c r="AF12" i="4"/>
  <c r="AG12" i="4" s="1"/>
  <c r="AI12" i="4" s="1"/>
  <c r="AU200" i="5"/>
  <c r="AU26" i="5"/>
  <c r="AA145" i="4"/>
  <c r="AC145" i="4" s="1"/>
  <c r="AD145" i="4" s="1"/>
  <c r="AR145" i="4" s="1"/>
  <c r="AT145" i="4" s="1"/>
  <c r="AU345" i="5"/>
  <c r="AT483" i="5"/>
  <c r="AX483" i="5" s="1"/>
  <c r="AY483" i="5" s="1"/>
  <c r="AK145" i="4"/>
  <c r="AX23" i="5"/>
  <c r="AY23" i="5" s="1"/>
  <c r="AU23" i="5"/>
  <c r="AK66" i="4"/>
  <c r="AF37" i="4"/>
  <c r="AG37" i="4" s="1"/>
  <c r="AI37" i="4" s="1"/>
  <c r="AU289" i="5"/>
  <c r="AX97" i="5"/>
  <c r="AY97" i="5" s="1"/>
  <c r="AK37" i="4"/>
  <c r="AT530" i="5"/>
  <c r="AX184" i="5"/>
  <c r="AY184" i="5" s="1"/>
  <c r="AU534" i="5"/>
  <c r="AT105" i="5"/>
  <c r="AX105" i="5" s="1"/>
  <c r="AY105" i="5" s="1"/>
  <c r="AT463" i="5"/>
  <c r="AX463" i="5" s="1"/>
  <c r="AY463" i="5" s="1"/>
  <c r="AU265" i="5"/>
  <c r="AU97" i="5"/>
  <c r="AT243" i="5"/>
  <c r="AU226" i="5"/>
  <c r="AT213" i="5"/>
  <c r="AX212" i="5" s="1"/>
  <c r="AY212" i="5" s="1"/>
  <c r="AU532" i="5"/>
  <c r="AT540" i="5"/>
  <c r="AX539" i="5" s="1"/>
  <c r="AY539" i="5" s="1"/>
  <c r="AT470" i="5"/>
  <c r="AX470" i="5" s="1"/>
  <c r="AY470" i="5" s="1"/>
  <c r="AT469" i="5"/>
  <c r="AU509" i="5"/>
  <c r="AU184" i="5"/>
  <c r="AA46" i="4"/>
  <c r="AC46" i="4" s="1"/>
  <c r="AD46" i="4" s="1"/>
  <c r="AR46" i="4" s="1"/>
  <c r="AT46" i="4" s="1"/>
  <c r="AJ46" i="4"/>
  <c r="AU359" i="5"/>
  <c r="AA20" i="4"/>
  <c r="AC20" i="4" s="1"/>
  <c r="AD20" i="4" s="1"/>
  <c r="AG66" i="4"/>
  <c r="AI66" i="4" s="1"/>
  <c r="AK20" i="4"/>
  <c r="AU327" i="5"/>
  <c r="AU297" i="5"/>
  <c r="AT466" i="5"/>
  <c r="AX466" i="5" s="1"/>
  <c r="AY466" i="5" s="1"/>
  <c r="AU188" i="5"/>
  <c r="AU166" i="5"/>
  <c r="AU477" i="5"/>
  <c r="AT518" i="5"/>
  <c r="AX517" i="5" s="1"/>
  <c r="AY517" i="5" s="1"/>
  <c r="AU514" i="5"/>
  <c r="AU22" i="5"/>
  <c r="AU511" i="5"/>
  <c r="AR43" i="4"/>
  <c r="AT43" i="4" s="1"/>
  <c r="AU62" i="5"/>
  <c r="AX49" i="5"/>
  <c r="AY49" i="5" s="1"/>
  <c r="AU349" i="5"/>
  <c r="AA14" i="4"/>
  <c r="AC14" i="4" s="1"/>
  <c r="AD14" i="4" s="1"/>
  <c r="AR149" i="4"/>
  <c r="AT149" i="4" s="1"/>
  <c r="AK14" i="4"/>
  <c r="AU148" i="5"/>
  <c r="AU137" i="5"/>
  <c r="AT201" i="5"/>
  <c r="AX201" i="5" s="1"/>
  <c r="AY201" i="5" s="1"/>
  <c r="AA61" i="4"/>
  <c r="AC61" i="4" s="1"/>
  <c r="AD61" i="4" s="1"/>
  <c r="AR61" i="4" s="1"/>
  <c r="AT61" i="4" s="1"/>
  <c r="AT42" i="5"/>
  <c r="AX42" i="5" s="1"/>
  <c r="AY42" i="5" s="1"/>
  <c r="AU351" i="5"/>
  <c r="AU21" i="5"/>
  <c r="AX21" i="5"/>
  <c r="AY21" i="5" s="1"/>
  <c r="AK61" i="4"/>
  <c r="AT214" i="5"/>
  <c r="AX214" i="5" s="1"/>
  <c r="AY214" i="5" s="1"/>
  <c r="AT267" i="5"/>
  <c r="AX267" i="5" s="1"/>
  <c r="AY267" i="5" s="1"/>
  <c r="AT186" i="5"/>
  <c r="AX186" i="5" s="1"/>
  <c r="AY186" i="5" s="1"/>
  <c r="AT301" i="5"/>
  <c r="AX300" i="5" s="1"/>
  <c r="AY300" i="5" s="1"/>
  <c r="AU300" i="5"/>
  <c r="AT313" i="5"/>
  <c r="AX313" i="5" s="1"/>
  <c r="AY313" i="5" s="1"/>
  <c r="AU382" i="5"/>
  <c r="AX148" i="5"/>
  <c r="AY148" i="5" s="1"/>
  <c r="AT451" i="5"/>
  <c r="AX450" i="5" s="1"/>
  <c r="AY450" i="5" s="1"/>
  <c r="AT486" i="5"/>
  <c r="AX485" i="5" s="1"/>
  <c r="AY485" i="5" s="1"/>
  <c r="AA57" i="4"/>
  <c r="AC57" i="4" s="1"/>
  <c r="AD57" i="4" s="1"/>
  <c r="AR57" i="4" s="1"/>
  <c r="AT57" i="4" s="1"/>
  <c r="AF22" i="4"/>
  <c r="AO22" i="4" s="1"/>
  <c r="AA142" i="4"/>
  <c r="AC142" i="4" s="1"/>
  <c r="AD142" i="4" s="1"/>
  <c r="AX147" i="5"/>
  <c r="AY147" i="5" s="1"/>
  <c r="AT248" i="5"/>
  <c r="AX247" i="5" s="1"/>
  <c r="AY247" i="5" s="1"/>
  <c r="AU205" i="5"/>
  <c r="AT478" i="5"/>
  <c r="AX477" i="5" s="1"/>
  <c r="AY477" i="5" s="1"/>
  <c r="AK15" i="4"/>
  <c r="AU31" i="5"/>
  <c r="AU283" i="5"/>
  <c r="AO142" i="4"/>
  <c r="AT390" i="5"/>
  <c r="AX389" i="5" s="1"/>
  <c r="AY389" i="5" s="1"/>
  <c r="AK57" i="4"/>
  <c r="AA15" i="4"/>
  <c r="AC15" i="4" s="1"/>
  <c r="AD15" i="4" s="1"/>
  <c r="AR15" i="4" s="1"/>
  <c r="AT15" i="4" s="1"/>
  <c r="AT316" i="5"/>
  <c r="AX316" i="5" s="1"/>
  <c r="AY316" i="5" s="1"/>
  <c r="AK142" i="4"/>
  <c r="AT444" i="5"/>
  <c r="AX444" i="5" s="1"/>
  <c r="AY444" i="5" s="1"/>
  <c r="AT58" i="5"/>
  <c r="AX58" i="5" s="1"/>
  <c r="AY58" i="5" s="1"/>
  <c r="AT374" i="5"/>
  <c r="AX373" i="5" s="1"/>
  <c r="AY373" i="5" s="1"/>
  <c r="AT455" i="5"/>
  <c r="AX454" i="5" s="1"/>
  <c r="AY454" i="5" s="1"/>
  <c r="AT360" i="5"/>
  <c r="AT308" i="5"/>
  <c r="AX308" i="5" s="1"/>
  <c r="AY308" i="5" s="1"/>
  <c r="AT361" i="5"/>
  <c r="AX361" i="5" s="1"/>
  <c r="AY361" i="5" s="1"/>
  <c r="AX278" i="5"/>
  <c r="AY278" i="5" s="1"/>
  <c r="AX62" i="5"/>
  <c r="AY62" i="5" s="1"/>
  <c r="AU400" i="5"/>
  <c r="AU32" i="5"/>
  <c r="AT48" i="5"/>
  <c r="AX48" i="5" s="1"/>
  <c r="AY48" i="5" s="1"/>
  <c r="AU363" i="5"/>
  <c r="AU138" i="5"/>
  <c r="AT306" i="5"/>
  <c r="AX306" i="5" s="1"/>
  <c r="AY306" i="5" s="1"/>
  <c r="AU245" i="5"/>
  <c r="AT145" i="5"/>
  <c r="AX144" i="5" s="1"/>
  <c r="AY144" i="5" s="1"/>
  <c r="AU421" i="5"/>
  <c r="AX20" i="5"/>
  <c r="AY20" i="5" s="1"/>
  <c r="AT113" i="5"/>
  <c r="AX113" i="5" s="1"/>
  <c r="AY113" i="5" s="1"/>
  <c r="AU552" i="5"/>
  <c r="AU55" i="5"/>
  <c r="AT222" i="5"/>
  <c r="AX222" i="5" s="1"/>
  <c r="AY222" i="5" s="1"/>
  <c r="AT366" i="5"/>
  <c r="AX365" i="5" s="1"/>
  <c r="AY365" i="5" s="1"/>
  <c r="AT36" i="5"/>
  <c r="AX35" i="5" s="1"/>
  <c r="AY35" i="5" s="1"/>
  <c r="AX116" i="5"/>
  <c r="AY116" i="5" s="1"/>
  <c r="AU309" i="5"/>
  <c r="AU336" i="5"/>
  <c r="AU416" i="5"/>
  <c r="AT140" i="5"/>
  <c r="AX139" i="5" s="1"/>
  <c r="AY139" i="5" s="1"/>
  <c r="AT295" i="5"/>
  <c r="AX294" i="5" s="1"/>
  <c r="AY294" i="5" s="1"/>
  <c r="AT302" i="5"/>
  <c r="AX302" i="5" s="1"/>
  <c r="AY302" i="5" s="1"/>
  <c r="AT90" i="5"/>
  <c r="AX90" i="5" s="1"/>
  <c r="AY90" i="5" s="1"/>
  <c r="AU353" i="5"/>
  <c r="AT178" i="5"/>
  <c r="AX177" i="5" s="1"/>
  <c r="AY177" i="5" s="1"/>
  <c r="AT378" i="5"/>
  <c r="AX378" i="5" s="1"/>
  <c r="AY378" i="5" s="1"/>
  <c r="AT475" i="5"/>
  <c r="AX475" i="5" s="1"/>
  <c r="AY475" i="5" s="1"/>
  <c r="AT462" i="5"/>
  <c r="AU517" i="5"/>
  <c r="AT344" i="5"/>
  <c r="AX343" i="5" s="1"/>
  <c r="AY343" i="5" s="1"/>
  <c r="AT94" i="5"/>
  <c r="AX94" i="5" s="1"/>
  <c r="AY94" i="5" s="1"/>
  <c r="AA135" i="4"/>
  <c r="AC135" i="4" s="1"/>
  <c r="AD135" i="4" s="1"/>
  <c r="AA125" i="4"/>
  <c r="AC125" i="4" s="1"/>
  <c r="AD125" i="4" s="1"/>
  <c r="AT158" i="5"/>
  <c r="AX158" i="5" s="1"/>
  <c r="AY158" i="5" s="1"/>
  <c r="AK125" i="4"/>
  <c r="AT259" i="5"/>
  <c r="AX258" i="5" s="1"/>
  <c r="AY258" i="5" s="1"/>
  <c r="AU438" i="5"/>
  <c r="AT119" i="5"/>
  <c r="AX118" i="5" s="1"/>
  <c r="AY118" i="5" s="1"/>
  <c r="AU394" i="5"/>
  <c r="AT155" i="5"/>
  <c r="AU504" i="5"/>
  <c r="AU193" i="5"/>
  <c r="AU270" i="5"/>
  <c r="AX46" i="5"/>
  <c r="AY46" i="5" s="1"/>
  <c r="AU385" i="5"/>
  <c r="AT194" i="5"/>
  <c r="AX193" i="5" s="1"/>
  <c r="AY193" i="5" s="1"/>
  <c r="AA39" i="4"/>
  <c r="AC39" i="4" s="1"/>
  <c r="AD39" i="4" s="1"/>
  <c r="AT428" i="5"/>
  <c r="AX427" i="5" s="1"/>
  <c r="AY427" i="5" s="1"/>
  <c r="AT556" i="5"/>
  <c r="AX556" i="5" s="1"/>
  <c r="AY556" i="5" s="1"/>
  <c r="AT494" i="5"/>
  <c r="AX494" i="5" s="1"/>
  <c r="AY494" i="5" s="1"/>
  <c r="AT76" i="5"/>
  <c r="AX76" i="5" s="1"/>
  <c r="AY76" i="5" s="1"/>
  <c r="AK39" i="4"/>
  <c r="AU502" i="5"/>
  <c r="AT404" i="5"/>
  <c r="AU541" i="5"/>
  <c r="AU46" i="5"/>
  <c r="AT244" i="5"/>
  <c r="AT383" i="5"/>
  <c r="AX382" i="5" s="1"/>
  <c r="AY382" i="5" s="1"/>
  <c r="AU440" i="5"/>
  <c r="AX53" i="5"/>
  <c r="AY53" i="5" s="1"/>
  <c r="AX54" i="5"/>
  <c r="AY54" i="5" s="1"/>
  <c r="AU425" i="5"/>
  <c r="AU126" i="5"/>
  <c r="AU106" i="5"/>
  <c r="AT174" i="5"/>
  <c r="AX173" i="5" s="1"/>
  <c r="AY173" i="5" s="1"/>
  <c r="AT335" i="5"/>
  <c r="AX335" i="5" s="1"/>
  <c r="AY335" i="5" s="1"/>
  <c r="AT111" i="5"/>
  <c r="AX111" i="5" s="1"/>
  <c r="AY111" i="5" s="1"/>
  <c r="AT277" i="5"/>
  <c r="AX277" i="5" s="1"/>
  <c r="AY277" i="5" s="1"/>
  <c r="AT325" i="5"/>
  <c r="AX324" i="5" s="1"/>
  <c r="AY324" i="5" s="1"/>
  <c r="AT67" i="5"/>
  <c r="AX67" i="5" s="1"/>
  <c r="AY67" i="5" s="1"/>
  <c r="AT210" i="5"/>
  <c r="AX209" i="5" s="1"/>
  <c r="AY209" i="5" s="1"/>
  <c r="AT310" i="5"/>
  <c r="AX309" i="5" s="1"/>
  <c r="AY309" i="5" s="1"/>
  <c r="AT555" i="5"/>
  <c r="AX122" i="5"/>
  <c r="AY122" i="5" s="1"/>
  <c r="AU50" i="5"/>
  <c r="AT402" i="5"/>
  <c r="AT551" i="5"/>
  <c r="AX551" i="5" s="1"/>
  <c r="AY551" i="5" s="1"/>
  <c r="AX80" i="5"/>
  <c r="AY80" i="5" s="1"/>
  <c r="AT318" i="5"/>
  <c r="AX318" i="5" s="1"/>
  <c r="AY318" i="5" s="1"/>
  <c r="AT12" i="5"/>
  <c r="AU476" i="5"/>
  <c r="AU122" i="5"/>
  <c r="AT354" i="5"/>
  <c r="AX353" i="5" s="1"/>
  <c r="AY353" i="5" s="1"/>
  <c r="AT60" i="5"/>
  <c r="AX59" i="5" s="1"/>
  <c r="AY59" i="5" s="1"/>
  <c r="AT452" i="5"/>
  <c r="AT120" i="5"/>
  <c r="AX120" i="5" s="1"/>
  <c r="AY120" i="5" s="1"/>
  <c r="AU116" i="5"/>
  <c r="AT104" i="5"/>
  <c r="AX103" i="5" s="1"/>
  <c r="AY103" i="5" s="1"/>
  <c r="AT150" i="5"/>
  <c r="AX150" i="5" s="1"/>
  <c r="AY150" i="5" s="1"/>
  <c r="AU533" i="5"/>
  <c r="AU369" i="5"/>
  <c r="AT403" i="5"/>
  <c r="AU163" i="5"/>
  <c r="AK22" i="4"/>
  <c r="AT217" i="5"/>
  <c r="AX216" i="5" s="1"/>
  <c r="AY216" i="5" s="1"/>
  <c r="AX240" i="5"/>
  <c r="AY240" i="5" s="1"/>
  <c r="AU25" i="5"/>
  <c r="AU453" i="5"/>
  <c r="AU198" i="5"/>
  <c r="AU384" i="5"/>
  <c r="AT231" i="5"/>
  <c r="AX231" i="5" s="1"/>
  <c r="AY231" i="5" s="1"/>
  <c r="AU505" i="5"/>
  <c r="AU77" i="5"/>
  <c r="AU350" i="5"/>
  <c r="AT263" i="5"/>
  <c r="AX262" i="5" s="1"/>
  <c r="AY262" i="5" s="1"/>
  <c r="AT239" i="5"/>
  <c r="AX239" i="5" s="1"/>
  <c r="AY239" i="5" s="1"/>
  <c r="AO125" i="4"/>
  <c r="AT411" i="5"/>
  <c r="AX411" i="5" s="1"/>
  <c r="AY411" i="5" s="1"/>
  <c r="AU398" i="5"/>
  <c r="AK135" i="4"/>
  <c r="AT110" i="5"/>
  <c r="AX109" i="5" s="1"/>
  <c r="AY109" i="5" s="1"/>
  <c r="AX73" i="5"/>
  <c r="AY73" i="5" s="1"/>
  <c r="AU420" i="5"/>
  <c r="AU285" i="5"/>
  <c r="AT501" i="5"/>
  <c r="AX500" i="5" s="1"/>
  <c r="AY500" i="5" s="1"/>
  <c r="AU114" i="5"/>
  <c r="AU44" i="5"/>
  <c r="AU73" i="5"/>
  <c r="AT220" i="5"/>
  <c r="AX219" i="5" s="1"/>
  <c r="AY219" i="5" s="1"/>
  <c r="AT82" i="5"/>
  <c r="AX81" i="5" s="1"/>
  <c r="AY81" i="5" s="1"/>
  <c r="AU406" i="5"/>
  <c r="AU24" i="5"/>
  <c r="AU548" i="5"/>
  <c r="AT236" i="5"/>
  <c r="AX236" i="5" s="1"/>
  <c r="AY236" i="5" s="1"/>
  <c r="AU128" i="5"/>
  <c r="AU468" i="5"/>
  <c r="AU387" i="5"/>
  <c r="AX143" i="5"/>
  <c r="AY143" i="5" s="1"/>
  <c r="AU115" i="5"/>
  <c r="AX202" i="5"/>
  <c r="AY202" i="5" s="1"/>
  <c r="AU437" i="5"/>
  <c r="AT513" i="5"/>
  <c r="AX512" i="5" s="1"/>
  <c r="AY512" i="5" s="1"/>
  <c r="AT377" i="5"/>
  <c r="AX127" i="5"/>
  <c r="AY127" i="5" s="1"/>
  <c r="AT441" i="5"/>
  <c r="AX440" i="5" s="1"/>
  <c r="AY440" i="5" s="1"/>
  <c r="AT492" i="5"/>
  <c r="AX491" i="5" s="1"/>
  <c r="AY491" i="5" s="1"/>
  <c r="AT168" i="5"/>
  <c r="AX168" i="5" s="1"/>
  <c r="AY168" i="5" s="1"/>
  <c r="AU19" i="5"/>
  <c r="AT410" i="5"/>
  <c r="AU375" i="5"/>
  <c r="AT558" i="5"/>
  <c r="AX557" i="5" s="1"/>
  <c r="AY557" i="5" s="1"/>
  <c r="AU204" i="5"/>
  <c r="AU314" i="5"/>
  <c r="AU240" i="5"/>
  <c r="AT228" i="5"/>
  <c r="AT229" i="5"/>
  <c r="AX229" i="5" s="1"/>
  <c r="AY229" i="5" s="1"/>
  <c r="AU320" i="5"/>
  <c r="AU560" i="5"/>
  <c r="AU153" i="5"/>
  <c r="AT99" i="5"/>
  <c r="AX99" i="5" s="1"/>
  <c r="AY99" i="5" s="1"/>
  <c r="AT157" i="5"/>
  <c r="AT238" i="5"/>
  <c r="AT405" i="5"/>
  <c r="AU108" i="5"/>
  <c r="AU143" i="5"/>
  <c r="AT134" i="5"/>
  <c r="AX134" i="5" s="1"/>
  <c r="AY134" i="5" s="1"/>
  <c r="AU218" i="5"/>
  <c r="AT496" i="5"/>
  <c r="AX495" i="5" s="1"/>
  <c r="AY495" i="5" s="1"/>
  <c r="AT27" i="5"/>
  <c r="AX26" i="5" s="1"/>
  <c r="AY26" i="5" s="1"/>
  <c r="AX72" i="5"/>
  <c r="AY72" i="5" s="1"/>
  <c r="AU293" i="5"/>
  <c r="AU472" i="5"/>
  <c r="AX19" i="5"/>
  <c r="AY19" i="5" s="1"/>
  <c r="AT132" i="5"/>
  <c r="AX132" i="5" s="1"/>
  <c r="AY132" i="5" s="1"/>
  <c r="F69" i="1"/>
  <c r="AT473" i="5"/>
  <c r="AX472" i="5" s="1"/>
  <c r="AY472" i="5" s="1"/>
  <c r="AU68" i="5"/>
  <c r="AT197" i="5"/>
  <c r="AX197" i="5" s="1"/>
  <c r="AY197" i="5" s="1"/>
  <c r="AT179" i="5"/>
  <c r="AX179" i="5" s="1"/>
  <c r="AY179" i="5" s="1"/>
  <c r="AX198" i="5"/>
  <c r="AY198" i="5" s="1"/>
  <c r="AX218" i="5"/>
  <c r="AY218" i="5" s="1"/>
  <c r="AT388" i="5"/>
  <c r="AX388" i="5" s="1"/>
  <c r="AY388" i="5" s="1"/>
  <c r="AT75" i="5"/>
  <c r="AX68" i="5"/>
  <c r="AY68" i="5" s="1"/>
  <c r="AU209" i="5"/>
  <c r="AT66" i="5"/>
  <c r="AX254" i="5"/>
  <c r="AY254" i="5" s="1"/>
  <c r="AX255" i="5"/>
  <c r="AY255" i="5" s="1"/>
  <c r="AT141" i="5"/>
  <c r="AX141" i="5" s="1"/>
  <c r="AY141" i="5" s="1"/>
  <c r="AU447" i="5"/>
  <c r="AU29" i="5"/>
  <c r="AU95" i="5"/>
  <c r="AA12" i="4"/>
  <c r="AC12" i="4" s="1"/>
  <c r="AD12" i="4" s="1"/>
  <c r="AU255" i="5"/>
  <c r="AT401" i="5"/>
  <c r="AU93" i="5"/>
  <c r="AT65" i="5"/>
  <c r="AT529" i="5"/>
  <c r="AU53" i="5"/>
  <c r="AT528" i="5"/>
  <c r="AU35" i="5"/>
  <c r="AU45" i="5"/>
  <c r="AU199" i="5"/>
  <c r="AU414" i="5"/>
  <c r="AU103" i="5"/>
  <c r="AX128" i="5"/>
  <c r="AY128" i="5" s="1"/>
  <c r="AX102" i="5"/>
  <c r="AY102" i="5" s="1"/>
  <c r="AT291" i="5"/>
  <c r="AX290" i="5" s="1"/>
  <c r="AY290" i="5" s="1"/>
  <c r="AX71" i="5"/>
  <c r="AY71" i="5" s="1"/>
  <c r="AX101" i="5"/>
  <c r="AY101" i="5" s="1"/>
  <c r="AT321" i="5"/>
  <c r="AX321" i="5" s="1"/>
  <c r="AY321" i="5" s="1"/>
  <c r="AU480" i="5"/>
  <c r="AU20" i="5"/>
  <c r="AU102" i="5"/>
  <c r="AX208" i="5"/>
  <c r="AY208" i="5" s="1"/>
  <c r="AT559" i="5"/>
  <c r="AX559" i="5" s="1"/>
  <c r="AY559" i="5" s="1"/>
  <c r="AX129" i="5"/>
  <c r="AY129" i="5" s="1"/>
  <c r="AU219" i="5"/>
  <c r="AU247" i="5"/>
  <c r="AU129" i="5"/>
  <c r="AT323" i="5"/>
  <c r="AX323" i="5" s="1"/>
  <c r="AY323" i="5" s="1"/>
  <c r="AT272" i="5"/>
  <c r="AX272" i="5" s="1"/>
  <c r="AY272" i="5" s="1"/>
  <c r="AF26" i="4"/>
  <c r="AK26" i="4"/>
  <c r="AA26" i="4"/>
  <c r="AC26" i="4" s="1"/>
  <c r="AD26" i="4" s="1"/>
  <c r="AT409" i="5"/>
  <c r="AX408" i="5" s="1"/>
  <c r="AY408" i="5" s="1"/>
  <c r="AA129" i="4"/>
  <c r="AC129" i="4" s="1"/>
  <c r="AD129" i="4" s="1"/>
  <c r="AR129" i="4" s="1"/>
  <c r="AT129" i="4" s="1"/>
  <c r="AA72" i="4"/>
  <c r="AC72" i="4" s="1"/>
  <c r="AD72" i="4" s="1"/>
  <c r="AR72" i="4" s="1"/>
  <c r="AT72" i="4" s="1"/>
  <c r="AK129" i="4"/>
  <c r="AT11" i="5"/>
  <c r="AU393" i="5"/>
  <c r="AU407" i="5"/>
  <c r="AU185" i="5"/>
  <c r="AA109" i="4"/>
  <c r="AC109" i="4" s="1"/>
  <c r="AD109" i="4" s="1"/>
  <c r="AK109" i="4"/>
  <c r="AA148" i="4"/>
  <c r="AC148" i="4" s="1"/>
  <c r="AD148" i="4" s="1"/>
  <c r="AU64" i="5"/>
  <c r="AU307" i="5"/>
  <c r="AK148" i="4"/>
  <c r="AK72" i="4"/>
  <c r="AU287" i="5"/>
  <c r="AO152" i="4"/>
  <c r="AR152" i="4" s="1"/>
  <c r="AT152" i="4" s="1"/>
  <c r="AK67" i="4"/>
  <c r="AJ67" i="4"/>
  <c r="AA133" i="4"/>
  <c r="AC133" i="4" s="1"/>
  <c r="AD133" i="4" s="1"/>
  <c r="AT340" i="5"/>
  <c r="AX339" i="5" s="1"/>
  <c r="AY339" i="5" s="1"/>
  <c r="AA79" i="4"/>
  <c r="AC79" i="4" s="1"/>
  <c r="AD79" i="4" s="1"/>
  <c r="AJ152" i="4"/>
  <c r="AR108" i="4"/>
  <c r="AT108" i="4" s="1"/>
  <c r="AT10" i="5"/>
  <c r="AT249" i="5"/>
  <c r="AO67" i="4"/>
  <c r="AR67" i="4" s="1"/>
  <c r="AT67" i="4" s="1"/>
  <c r="AK79" i="4"/>
  <c r="AK133" i="4"/>
  <c r="AF133" i="4"/>
  <c r="AG133" i="4" s="1"/>
  <c r="AI133" i="4" s="1"/>
  <c r="AK152" i="4"/>
  <c r="AU230" i="5"/>
  <c r="AU346" i="5"/>
  <c r="AT299" i="5"/>
  <c r="AX299" i="5" s="1"/>
  <c r="AY299" i="5" s="1"/>
  <c r="AA132" i="4"/>
  <c r="AC132" i="4" s="1"/>
  <c r="AD132" i="4" s="1"/>
  <c r="AJ132" i="4"/>
  <c r="AK132" i="4"/>
  <c r="AO105" i="4"/>
  <c r="AG105" i="4"/>
  <c r="AI105" i="4" s="1"/>
  <c r="AF101" i="4"/>
  <c r="AA101" i="4"/>
  <c r="AC101" i="4" s="1"/>
  <c r="AD101" i="4" s="1"/>
  <c r="AK101" i="4"/>
  <c r="AF21" i="4"/>
  <c r="AA21" i="4"/>
  <c r="AC21" i="4" s="1"/>
  <c r="AD21" i="4" s="1"/>
  <c r="AK21" i="4"/>
  <c r="AF24" i="4"/>
  <c r="AK24" i="4"/>
  <c r="AR81" i="4"/>
  <c r="AT81" i="4" s="1"/>
  <c r="AF10" i="4"/>
  <c r="AA10" i="4"/>
  <c r="AC10" i="4" s="1"/>
  <c r="AD10" i="4" s="1"/>
  <c r="AK10" i="4"/>
  <c r="AG140" i="4"/>
  <c r="AI140" i="4" s="1"/>
  <c r="AO140" i="4"/>
  <c r="AO132" i="4"/>
  <c r="AG132" i="4"/>
  <c r="AI132" i="4" s="1"/>
  <c r="AA62" i="4"/>
  <c r="AC62" i="4" s="1"/>
  <c r="AD62" i="4" s="1"/>
  <c r="AF62" i="4"/>
  <c r="AK62" i="4"/>
  <c r="AJ144" i="4"/>
  <c r="Z155" i="4"/>
  <c r="AF155" i="4" s="1"/>
  <c r="Z144" i="4"/>
  <c r="AF144" i="4" s="1"/>
  <c r="AJ155" i="4"/>
  <c r="AF59" i="4"/>
  <c r="AK59" i="4"/>
  <c r="AA59" i="4"/>
  <c r="AC59" i="4" s="1"/>
  <c r="AD59" i="4" s="1"/>
  <c r="AG79" i="4"/>
  <c r="AI79" i="4" s="1"/>
  <c r="AO79" i="4"/>
  <c r="AA94" i="4"/>
  <c r="AC94" i="4" s="1"/>
  <c r="AD94" i="4" s="1"/>
  <c r="AJ94" i="4"/>
  <c r="AF83" i="4"/>
  <c r="AA83" i="4"/>
  <c r="AC83" i="4" s="1"/>
  <c r="AD83" i="4" s="1"/>
  <c r="AK83" i="4"/>
  <c r="AU8" i="5"/>
  <c r="AJ130" i="4"/>
  <c r="Z141" i="4"/>
  <c r="AA141" i="4" s="1"/>
  <c r="AC141" i="4" s="1"/>
  <c r="AD141" i="4" s="1"/>
  <c r="AF94" i="4"/>
  <c r="AK94" i="4"/>
  <c r="AA24" i="4"/>
  <c r="AC24" i="4" s="1"/>
  <c r="AD24" i="4" s="1"/>
  <c r="AJ24" i="4"/>
  <c r="AF58" i="4"/>
  <c r="AA58" i="4"/>
  <c r="AC58" i="4" s="1"/>
  <c r="AD58" i="4" s="1"/>
  <c r="AK58" i="4"/>
  <c r="Z130" i="4"/>
  <c r="AF130" i="4" s="1"/>
  <c r="AF34" i="4"/>
  <c r="AK34" i="4"/>
  <c r="AA34" i="4"/>
  <c r="AC34" i="4" s="1"/>
  <c r="AD34" i="4" s="1"/>
  <c r="AT292" i="5"/>
  <c r="AU391" i="5"/>
  <c r="AT235" i="5"/>
  <c r="AU162" i="5"/>
  <c r="AG84" i="4"/>
  <c r="AI84" i="4" s="1"/>
  <c r="AO84" i="4"/>
  <c r="AU169" i="5"/>
  <c r="AR143" i="4"/>
  <c r="AT143" i="4" s="1"/>
  <c r="AR103" i="4"/>
  <c r="AT103" i="4" s="1"/>
  <c r="AT487" i="5"/>
  <c r="AX487" i="5" s="1"/>
  <c r="AY487" i="5" s="1"/>
  <c r="AR85" i="4"/>
  <c r="AT85" i="4" s="1"/>
  <c r="AU412" i="5"/>
  <c r="AT458" i="5"/>
  <c r="AX458" i="5" s="1"/>
  <c r="AY458" i="5" s="1"/>
  <c r="AT550" i="5"/>
  <c r="AT233" i="5"/>
  <c r="AX232" i="5" s="1"/>
  <c r="AY232" i="5" s="1"/>
  <c r="AU364" i="5"/>
  <c r="AG120" i="4"/>
  <c r="AI120" i="4" s="1"/>
  <c r="AR120" i="4" s="1"/>
  <c r="AT120" i="4" s="1"/>
  <c r="AT549" i="5"/>
  <c r="AX548" i="5" s="1"/>
  <c r="AY548" i="5" s="1"/>
  <c r="AU328" i="5"/>
  <c r="AU396" i="5"/>
  <c r="AU457" i="5"/>
  <c r="AT547" i="5"/>
  <c r="AX547" i="5" s="1"/>
  <c r="AY547" i="5" s="1"/>
  <c r="AT326" i="5"/>
  <c r="AX326" i="5" s="1"/>
  <c r="AY326" i="5" s="1"/>
  <c r="AT52" i="5"/>
  <c r="AX52" i="5" s="1"/>
  <c r="AY52" i="5" s="1"/>
  <c r="AT196" i="5"/>
  <c r="AT207" i="5"/>
  <c r="AX206" i="5" s="1"/>
  <c r="AY206" i="5" s="1"/>
  <c r="AT545" i="5"/>
  <c r="AX544" i="5" s="1"/>
  <c r="AY544" i="5" s="1"/>
  <c r="AT430" i="5"/>
  <c r="AX429" i="5" s="1"/>
  <c r="AY429" i="5" s="1"/>
  <c r="AU315" i="5"/>
  <c r="AU47" i="5"/>
  <c r="AU92" i="5"/>
  <c r="AT423" i="5"/>
  <c r="AX423" i="5" s="1"/>
  <c r="AY423" i="5" s="1"/>
  <c r="AT527" i="5"/>
  <c r="AT443" i="5"/>
  <c r="AU271" i="5"/>
  <c r="AT510" i="5"/>
  <c r="AX509" i="5" s="1"/>
  <c r="AY509" i="5" s="1"/>
  <c r="AU225" i="5"/>
  <c r="AT352" i="5"/>
  <c r="AX351" i="5" s="1"/>
  <c r="AU79" i="5"/>
  <c r="AU418" i="5"/>
  <c r="AU139" i="5"/>
  <c r="AU539" i="5"/>
  <c r="AT535" i="5"/>
  <c r="AX535" i="5" s="1"/>
  <c r="AY535" i="5" s="1"/>
  <c r="AT191" i="5"/>
  <c r="AX191" i="5" s="1"/>
  <c r="AY191" i="5" s="1"/>
  <c r="AT56" i="5"/>
  <c r="AX56" i="5" s="1"/>
  <c r="AY56" i="5" s="1"/>
  <c r="AT497" i="5"/>
  <c r="AU57" i="5"/>
  <c r="AU490" i="5"/>
  <c r="AT419" i="5"/>
  <c r="AX418" i="5" s="1"/>
  <c r="AY418" i="5" s="1"/>
  <c r="AU98" i="5"/>
  <c r="AT96" i="5"/>
  <c r="AX96" i="5" s="1"/>
  <c r="AY96" i="5" s="1"/>
  <c r="AX347" i="5"/>
  <c r="AY347" i="5" s="1"/>
  <c r="AT542" i="5"/>
  <c r="AX542" i="5" s="1"/>
  <c r="AY542" i="5" s="1"/>
  <c r="AT154" i="5"/>
  <c r="AX153" i="5" s="1"/>
  <c r="AY153" i="5" s="1"/>
  <c r="AU84" i="5"/>
  <c r="AT172" i="5"/>
  <c r="AX172" i="5" s="1"/>
  <c r="AY172" i="5" s="1"/>
  <c r="AT358" i="5"/>
  <c r="AX358" i="5" s="1"/>
  <c r="AY358" i="5" s="1"/>
  <c r="AT124" i="5"/>
  <c r="AX123" i="5" s="1"/>
  <c r="AY123" i="5" s="1"/>
  <c r="AX384" i="5"/>
  <c r="AY384" i="5" s="1"/>
  <c r="AT164" i="5"/>
  <c r="AX163" i="5" s="1"/>
  <c r="AY163" i="5" s="1"/>
  <c r="AX425" i="5"/>
  <c r="AY425" i="5" s="1"/>
  <c r="AU503" i="5"/>
  <c r="AU330" i="5"/>
  <c r="AU211" i="5"/>
  <c r="AU322" i="5"/>
  <c r="AU281" i="5"/>
  <c r="AT61" i="5"/>
  <c r="AU435" i="5"/>
  <c r="AT227" i="5"/>
  <c r="AX226" i="5" s="1"/>
  <c r="AY226" i="5" s="1"/>
  <c r="AT526" i="5"/>
  <c r="AX525" i="5" s="1"/>
  <c r="AY525" i="5" s="1"/>
  <c r="AU224" i="5"/>
  <c r="AU39" i="5"/>
  <c r="AT28" i="5"/>
  <c r="AX28" i="5" s="1"/>
  <c r="AY28" i="5" s="1"/>
  <c r="AT519" i="5"/>
  <c r="AT357" i="5"/>
  <c r="AX356" i="5" s="1"/>
  <c r="AY356" i="5" s="1"/>
  <c r="AT107" i="5"/>
  <c r="AX107" i="5" s="1"/>
  <c r="AY107" i="5" s="1"/>
  <c r="AX135" i="5"/>
  <c r="AY135" i="5" s="1"/>
  <c r="AU493" i="5"/>
  <c r="AU177" i="5"/>
  <c r="AU131" i="5"/>
  <c r="AT51" i="5"/>
  <c r="AT246" i="5"/>
  <c r="AX245" i="5" s="1"/>
  <c r="AY245" i="5" s="1"/>
  <c r="AT442" i="5"/>
  <c r="AX479" i="5"/>
  <c r="AY479" i="5" s="1"/>
  <c r="AX552" i="5"/>
  <c r="AY552" i="5" s="1"/>
  <c r="AX456" i="5"/>
  <c r="AY456" i="5" s="1"/>
  <c r="AX159" i="5"/>
  <c r="AY159" i="5" s="1"/>
  <c r="AT89" i="5"/>
  <c r="AX286" i="5"/>
  <c r="AY286" i="5" s="1"/>
  <c r="AT516" i="5"/>
  <c r="AX515" i="5" s="1"/>
  <c r="AY515" i="5" s="1"/>
  <c r="AT41" i="5"/>
  <c r="AU71" i="5"/>
  <c r="AT367" i="5"/>
  <c r="AX367" i="5" s="1"/>
  <c r="AY367" i="5" s="1"/>
  <c r="AU86" i="5"/>
  <c r="AT190" i="5"/>
  <c r="AT152" i="5"/>
  <c r="AX151" i="5" s="1"/>
  <c r="AY151" i="5" s="1"/>
  <c r="AU273" i="5"/>
  <c r="AU439" i="5"/>
  <c r="AX311" i="5"/>
  <c r="AY311" i="5" s="1"/>
  <c r="AT88" i="5"/>
  <c r="AX87" i="5" s="1"/>
  <c r="AY87" i="5" s="1"/>
  <c r="AX407" i="5"/>
  <c r="AY407" i="5" s="1"/>
  <c r="AX328" i="5"/>
  <c r="AY328" i="5" s="1"/>
  <c r="AT156" i="5"/>
  <c r="AU195" i="5"/>
  <c r="AX349" i="5"/>
  <c r="AY349" i="5" s="1"/>
  <c r="AU368" i="5"/>
  <c r="B123" i="2"/>
  <c r="H29" i="1" s="1"/>
  <c r="AU355" i="5"/>
  <c r="AT334" i="5"/>
  <c r="AX333" i="5" s="1"/>
  <c r="AY333" i="5" s="1"/>
  <c r="AU276" i="5"/>
  <c r="AT30" i="5"/>
  <c r="AX30" i="5" s="1"/>
  <c r="AY30" i="5" s="1"/>
  <c r="AX169" i="5"/>
  <c r="AY169" i="5" s="1"/>
  <c r="AT415" i="5"/>
  <c r="AX415" i="5" s="1"/>
  <c r="AY415" i="5" s="1"/>
  <c r="AT531" i="5"/>
  <c r="AX531" i="5" s="1"/>
  <c r="AY531" i="5" s="1"/>
  <c r="AX503" i="5"/>
  <c r="AY503" i="5" s="1"/>
  <c r="AT431" i="5"/>
  <c r="AX431" i="5" s="1"/>
  <c r="AY431" i="5" s="1"/>
  <c r="AU372" i="5"/>
  <c r="AT242" i="5"/>
  <c r="AX241" i="5" s="1"/>
  <c r="AY241" i="5" s="1"/>
  <c r="AU389" i="5"/>
  <c r="AR97" i="4"/>
  <c r="AT97" i="4" s="1"/>
  <c r="AR45" i="4"/>
  <c r="AT45" i="4" s="1"/>
  <c r="AX488" i="5"/>
  <c r="AY488" i="5" s="1"/>
  <c r="AU250" i="5"/>
  <c r="AX520" i="5"/>
  <c r="AY520" i="5" s="1"/>
  <c r="AX251" i="5"/>
  <c r="AY251" i="5" s="1"/>
  <c r="AX368" i="5"/>
  <c r="AU507" i="5"/>
  <c r="AU474" i="5"/>
  <c r="AX449" i="5"/>
  <c r="AY449" i="5" s="1"/>
  <c r="AO32" i="4"/>
  <c r="AR32" i="4" s="1"/>
  <c r="AT32" i="4" s="1"/>
  <c r="AR17" i="4"/>
  <c r="AT17" i="4" s="1"/>
  <c r="AX350" i="5"/>
  <c r="AY350" i="5" s="1"/>
  <c r="AX392" i="5"/>
  <c r="AY392" i="5" s="1"/>
  <c r="AX34" i="5"/>
  <c r="AY34" i="5" s="1"/>
  <c r="AR123" i="4"/>
  <c r="AT123" i="4" s="1"/>
  <c r="AR111" i="4"/>
  <c r="AT111" i="4" s="1"/>
  <c r="AX180" i="5"/>
  <c r="AY180" i="5" s="1"/>
  <c r="AX287" i="5"/>
  <c r="AY287" i="5" s="1"/>
  <c r="AX505" i="5"/>
  <c r="AY505" i="5" s="1"/>
  <c r="AX434" i="5"/>
  <c r="AY434" i="5" s="1"/>
  <c r="AO95" i="4"/>
  <c r="AG95" i="4"/>
  <c r="AI95" i="4" s="1"/>
  <c r="AO116" i="4"/>
  <c r="AG116" i="4"/>
  <c r="AI116" i="4" s="1"/>
  <c r="AG35" i="4"/>
  <c r="AI35" i="4" s="1"/>
  <c r="AO35" i="4"/>
  <c r="AG134" i="4"/>
  <c r="AI134" i="4" s="1"/>
  <c r="AO134" i="4"/>
  <c r="AG69" i="4"/>
  <c r="AI69" i="4" s="1"/>
  <c r="AO69" i="4"/>
  <c r="AG20" i="4"/>
  <c r="AI20" i="4" s="1"/>
  <c r="AO20" i="4"/>
  <c r="AG38" i="4"/>
  <c r="AI38" i="4" s="1"/>
  <c r="AO38" i="4"/>
  <c r="AO54" i="4"/>
  <c r="AG54" i="4"/>
  <c r="AI54" i="4" s="1"/>
  <c r="AO126" i="4"/>
  <c r="AG126" i="4"/>
  <c r="AI126" i="4" s="1"/>
  <c r="AR70" i="4"/>
  <c r="AT70" i="4" s="1"/>
  <c r="AG23" i="4"/>
  <c r="AI23" i="4" s="1"/>
  <c r="AO23" i="4"/>
  <c r="AG127" i="4"/>
  <c r="AI127" i="4" s="1"/>
  <c r="AO127" i="4"/>
  <c r="AG109" i="4"/>
  <c r="AI109" i="4" s="1"/>
  <c r="AO109" i="4"/>
  <c r="AO100" i="4"/>
  <c r="AG100" i="4"/>
  <c r="AI100" i="4" s="1"/>
  <c r="AR44" i="4"/>
  <c r="AT44" i="4" s="1"/>
  <c r="AG8" i="4"/>
  <c r="AI8" i="4" s="1"/>
  <c r="AO8" i="4"/>
  <c r="AO128" i="4"/>
  <c r="AG128" i="4"/>
  <c r="AI128" i="4" s="1"/>
  <c r="AG150" i="4"/>
  <c r="AI150" i="4" s="1"/>
  <c r="AO150" i="4"/>
  <c r="AG86" i="4"/>
  <c r="AI86" i="4" s="1"/>
  <c r="AO86" i="4"/>
  <c r="AG77" i="4"/>
  <c r="AI77" i="4" s="1"/>
  <c r="AO77" i="4"/>
  <c r="AO47" i="4"/>
  <c r="AG47" i="4"/>
  <c r="AI47" i="4" s="1"/>
  <c r="AG93" i="4"/>
  <c r="AI93" i="4" s="1"/>
  <c r="AO93" i="4"/>
  <c r="AO7" i="4"/>
  <c r="AG7" i="4"/>
  <c r="AI7" i="4" s="1"/>
  <c r="AG148" i="4"/>
  <c r="AI148" i="4" s="1"/>
  <c r="AO148" i="4"/>
  <c r="AX338" i="5"/>
  <c r="AY338" i="5" s="1"/>
  <c r="AO135" i="4"/>
  <c r="AG135" i="4"/>
  <c r="AI135" i="4" s="1"/>
  <c r="AO14" i="4"/>
  <c r="AG14" i="4"/>
  <c r="AI14" i="4" s="1"/>
  <c r="AO157" i="4"/>
  <c r="AG157" i="4"/>
  <c r="AI157" i="4" s="1"/>
  <c r="AO137" i="4"/>
  <c r="AG137" i="4"/>
  <c r="AI137" i="4" s="1"/>
  <c r="AO39" i="4"/>
  <c r="AG39" i="4"/>
  <c r="AI39" i="4" s="1"/>
  <c r="AO52" i="4"/>
  <c r="AG52" i="4"/>
  <c r="AI52" i="4" s="1"/>
  <c r="AT9" i="5"/>
  <c r="AU9" i="5"/>
  <c r="AX341" i="5"/>
  <c r="AY341" i="5" s="1"/>
  <c r="AX86" i="5"/>
  <c r="AY86" i="5" s="1"/>
  <c r="AX498" i="5"/>
  <c r="AY498" i="5" s="1"/>
  <c r="AX314" i="5"/>
  <c r="AY314" i="5" s="1"/>
  <c r="AX224" i="5"/>
  <c r="AY224" i="5" s="1"/>
  <c r="AX183" i="5"/>
  <c r="AY183" i="5" s="1"/>
  <c r="AX464" i="5"/>
  <c r="AY464" i="5" s="1"/>
  <c r="AX84" i="5"/>
  <c r="AY84" i="5" s="1"/>
  <c r="AX39" i="5"/>
  <c r="AY39" i="5" s="1"/>
  <c r="AX447" i="5"/>
  <c r="AY447" i="5" s="1"/>
  <c r="AX33" i="5"/>
  <c r="AY33" i="5" s="1"/>
  <c r="AX362" i="5"/>
  <c r="AY362" i="5" s="1"/>
  <c r="AR114" i="4"/>
  <c r="AT114" i="4" s="1"/>
  <c r="AX355" i="5"/>
  <c r="AY355" i="5" s="1"/>
  <c r="AX279" i="5"/>
  <c r="AY279" i="5" s="1"/>
  <c r="AX160" i="5"/>
  <c r="AY160" i="5" s="1"/>
  <c r="AX260" i="5"/>
  <c r="AY260" i="5" s="1"/>
  <c r="AX435" i="5"/>
  <c r="AY435" i="5" s="1"/>
  <c r="AX369" i="5"/>
  <c r="AY369" i="5" s="1"/>
  <c r="AX188" i="5"/>
  <c r="AY188" i="5" s="1"/>
  <c r="AX252" i="5"/>
  <c r="AY252" i="5" s="1"/>
  <c r="AX199" i="5"/>
  <c r="AY199" i="5" s="1"/>
  <c r="AX329" i="5"/>
  <c r="AY329" i="5" s="1"/>
  <c r="AX274" i="5"/>
  <c r="AY274" i="5" s="1"/>
  <c r="AX165" i="5"/>
  <c r="AY165" i="5" s="1"/>
  <c r="AX283" i="5"/>
  <c r="AY283" i="5" s="1"/>
  <c r="AX481" i="5"/>
  <c r="AY481" i="5" s="1"/>
  <c r="AX395" i="5"/>
  <c r="AY395" i="5" s="1"/>
  <c r="AX364" i="5"/>
  <c r="AX137" i="5"/>
  <c r="AY137" i="5" s="1"/>
  <c r="AX424" i="5"/>
  <c r="AY424" i="5" s="1"/>
  <c r="AX79" i="5"/>
  <c r="AY79" i="5" s="1"/>
  <c r="AX379" i="5"/>
  <c r="AY379" i="5" s="1"/>
  <c r="AX432" i="5"/>
  <c r="AY432" i="5" s="1"/>
  <c r="AX269" i="5"/>
  <c r="AY269" i="5" s="1"/>
  <c r="AX211" i="5"/>
  <c r="AY211" i="5" s="1"/>
  <c r="AX489" i="5"/>
  <c r="AY489" i="5" s="1"/>
  <c r="AX85" i="5"/>
  <c r="AY85" i="5" s="1"/>
  <c r="AX25" i="5"/>
  <c r="AY25" i="5" s="1"/>
  <c r="AX288" i="5"/>
  <c r="AY288" i="5" s="1"/>
  <c r="AX265" i="5"/>
  <c r="AY265" i="5" s="1"/>
  <c r="AX372" i="5"/>
  <c r="AY372" i="5" s="1"/>
  <c r="AX303" i="5"/>
  <c r="AY303" i="5" s="1"/>
  <c r="AX342" i="5"/>
  <c r="AY342" i="5" s="1"/>
  <c r="AX43" i="5"/>
  <c r="AY43" i="5" s="1"/>
  <c r="AX146" i="5"/>
  <c r="AY146" i="5" s="1"/>
  <c r="AX270" i="5"/>
  <c r="AY270" i="5" s="1"/>
  <c r="AX176" i="5"/>
  <c r="AY176" i="5" s="1"/>
  <c r="AX187" i="5"/>
  <c r="AY187" i="5" s="1"/>
  <c r="AX398" i="5"/>
  <c r="AY398" i="5" s="1"/>
  <c r="AX421" i="5"/>
  <c r="AY421" i="5" s="1"/>
  <c r="AX337" i="5"/>
  <c r="AY337" i="5" s="1"/>
  <c r="AX345" i="5"/>
  <c r="AY345" i="5" s="1"/>
  <c r="AX223" i="5"/>
  <c r="AY223" i="5" s="1"/>
  <c r="AX413" i="5"/>
  <c r="AY413" i="5" s="1"/>
  <c r="AX380" i="5"/>
  <c r="AY380" i="5" s="1"/>
  <c r="AX386" i="5"/>
  <c r="AY386" i="5" s="1"/>
  <c r="AX130" i="5"/>
  <c r="AY130" i="5" s="1"/>
  <c r="AX63" i="5"/>
  <c r="AY63" i="5" s="1"/>
  <c r="AX331" i="5"/>
  <c r="AY331" i="5" s="1"/>
  <c r="AX261" i="5"/>
  <c r="AY261" i="5" s="1"/>
  <c r="AX205" i="5"/>
  <c r="AY205" i="5" s="1"/>
  <c r="AX426" i="5"/>
  <c r="AY426" i="5" s="1"/>
  <c r="AX511" i="5"/>
  <c r="AY511" i="5" s="1"/>
  <c r="AX161" i="5"/>
  <c r="AY161" i="5" s="1"/>
  <c r="AX282" i="5"/>
  <c r="AY282" i="5" s="1"/>
  <c r="AX438" i="5"/>
  <c r="AY438" i="5" s="1"/>
  <c r="AX37" i="5"/>
  <c r="AY37" i="5" s="1"/>
  <c r="AX273" i="5"/>
  <c r="AY273" i="5" s="1"/>
  <c r="AX537" i="5"/>
  <c r="AY537" i="5" s="1"/>
  <c r="AX83" i="5"/>
  <c r="AY83" i="5" s="1"/>
  <c r="AR92" i="4"/>
  <c r="AT92" i="4" s="1"/>
  <c r="AR121" i="4"/>
  <c r="AT121" i="4" s="1"/>
  <c r="AR154" i="4"/>
  <c r="AT154" i="4" s="1"/>
  <c r="AR156" i="4"/>
  <c r="AT156" i="4" s="1"/>
  <c r="AR50" i="4"/>
  <c r="AT50" i="4" s="1"/>
  <c r="AR29" i="4"/>
  <c r="AT29" i="4" s="1"/>
  <c r="AR138" i="4"/>
  <c r="AT138" i="4" s="1"/>
  <c r="AR104" i="4"/>
  <c r="AT104" i="4" s="1"/>
  <c r="AR113" i="4"/>
  <c r="AT113" i="4" s="1"/>
  <c r="AR147" i="4"/>
  <c r="AT147" i="4" s="1"/>
  <c r="AR51" i="4"/>
  <c r="AT51" i="4" s="1"/>
  <c r="AR122" i="4"/>
  <c r="AT122" i="4" s="1"/>
  <c r="AR65" i="4"/>
  <c r="AT65" i="4" s="1"/>
  <c r="AR124" i="4"/>
  <c r="AT124" i="4" s="1"/>
  <c r="AR88" i="4"/>
  <c r="AT88" i="4" s="1"/>
  <c r="AR90" i="4"/>
  <c r="AT90" i="4" s="1"/>
  <c r="AR11" i="4"/>
  <c r="AT11" i="4" s="1"/>
  <c r="AR146" i="4"/>
  <c r="AT146" i="4" s="1"/>
  <c r="AR33" i="4"/>
  <c r="AT33" i="4" s="1"/>
  <c r="AR131" i="4"/>
  <c r="AT131" i="4" s="1"/>
  <c r="AX394" i="5"/>
  <c r="AX166" i="5"/>
  <c r="AY166" i="5" s="1"/>
  <c r="AT13" i="5"/>
  <c r="AU13" i="5"/>
  <c r="AX436" i="5"/>
  <c r="AY436" i="5" s="1"/>
  <c r="AX44" i="5"/>
  <c r="AY44" i="5" s="1"/>
  <c r="AX92" i="5"/>
  <c r="AY92" i="5" s="1"/>
  <c r="AX381" i="5"/>
  <c r="AY381" i="5" s="1"/>
  <c r="AX215" i="5"/>
  <c r="AY215" i="5" s="1"/>
  <c r="AR28" i="4"/>
  <c r="AT28" i="4" s="1"/>
  <c r="AX280" i="5"/>
  <c r="AY280" i="5" s="1"/>
  <c r="AX125" i="5"/>
  <c r="AY125" i="5" s="1"/>
  <c r="AX476" i="5"/>
  <c r="AY476" i="5" s="1"/>
  <c r="AX445" i="5"/>
  <c r="AY445" i="5" s="1"/>
  <c r="AX225" i="5"/>
  <c r="AY225" i="5" s="1"/>
  <c r="AX24" i="5"/>
  <c r="AY24" i="5" s="1"/>
  <c r="AX448" i="5"/>
  <c r="AY448" i="5" s="1"/>
  <c r="AR80" i="4"/>
  <c r="AT80" i="4" s="1"/>
  <c r="AX256" i="5"/>
  <c r="AY256" i="5" s="1"/>
  <c r="AX275" i="5"/>
  <c r="AY275" i="5" s="1"/>
  <c r="AX32" i="5"/>
  <c r="AY32" i="5" s="1"/>
  <c r="AX504" i="5"/>
  <c r="AY504" i="5" s="1"/>
  <c r="AX319" i="5"/>
  <c r="AY319" i="5" s="1"/>
  <c r="AX393" i="5"/>
  <c r="AY393" i="5" s="1"/>
  <c r="AX467" i="5"/>
  <c r="AY467" i="5" s="1"/>
  <c r="F70" i="1"/>
  <c r="B231" i="2"/>
  <c r="F71" i="1" s="1"/>
  <c r="AX385" i="5"/>
  <c r="AX506" i="5"/>
  <c r="AY506" i="5" s="1"/>
  <c r="AX417" i="5"/>
  <c r="AY417" i="5" s="1"/>
  <c r="AX70" i="5"/>
  <c r="AY70" i="5" s="1"/>
  <c r="AR99" i="4"/>
  <c r="AT99" i="4" s="1"/>
  <c r="AX538" i="5"/>
  <c r="AY538" i="5" s="1"/>
  <c r="AX22" i="5"/>
  <c r="AY22" i="5" s="1"/>
  <c r="AX396" i="5"/>
  <c r="AY396" i="5" s="1"/>
  <c r="AX446" i="5"/>
  <c r="AY446" i="5" s="1"/>
  <c r="AX348" i="5"/>
  <c r="AY348" i="5" s="1"/>
  <c r="AX420" i="5"/>
  <c r="AY420" i="5" s="1"/>
  <c r="AX117" i="5"/>
  <c r="AY117" i="5" s="1"/>
  <c r="AX433" i="5"/>
  <c r="AY433" i="5" s="1"/>
  <c r="AX484" i="5"/>
  <c r="AY484" i="5" s="1"/>
  <c r="AX553" i="5"/>
  <c r="AY553" i="5" s="1"/>
  <c r="AX471" i="5"/>
  <c r="AY471" i="5" s="1"/>
  <c r="AX203" i="5"/>
  <c r="AY203" i="5" s="1"/>
  <c r="AX204" i="5"/>
  <c r="AY204" i="5" s="1"/>
  <c r="AX480" i="5"/>
  <c r="AY480" i="5" s="1"/>
  <c r="AX453" i="5"/>
  <c r="AY453" i="5" s="1"/>
  <c r="AR107" i="4"/>
  <c r="AT107" i="4" s="1"/>
  <c r="AX138" i="5"/>
  <c r="AY138" i="5" s="1"/>
  <c r="AX439" i="5"/>
  <c r="AY439" i="5" s="1"/>
  <c r="AX108" i="5"/>
  <c r="AY108" i="5" s="1"/>
  <c r="AR16" i="4"/>
  <c r="AT16" i="4" s="1"/>
  <c r="AX304" i="5"/>
  <c r="AY304" i="5" s="1"/>
  <c r="AX532" i="5"/>
  <c r="AY532" i="5" s="1"/>
  <c r="AR55" i="4"/>
  <c r="AT55" i="4" s="1"/>
  <c r="AR115" i="4"/>
  <c r="AT115" i="4" s="1"/>
  <c r="AR42" i="4"/>
  <c r="AT42" i="4" s="1"/>
  <c r="AX121" i="5"/>
  <c r="AY121" i="5" s="1"/>
  <c r="AX289" i="5"/>
  <c r="AY289" i="5" s="1"/>
  <c r="AX490" i="5"/>
  <c r="AY490" i="5" s="1"/>
  <c r="AX297" i="5"/>
  <c r="AY297" i="5" s="1"/>
  <c r="AX459" i="5"/>
  <c r="AY459" i="5" s="1"/>
  <c r="AX514" i="5"/>
  <c r="AY514" i="5" s="1"/>
  <c r="AX136" i="5"/>
  <c r="AY136" i="5" s="1"/>
  <c r="AR60" i="4"/>
  <c r="AT60" i="4" s="1"/>
  <c r="AX397" i="5"/>
  <c r="AY397" i="5" s="1"/>
  <c r="AX543" i="5"/>
  <c r="AY543" i="5" s="1"/>
  <c r="AX100" i="5"/>
  <c r="AY100" i="5" s="1"/>
  <c r="AX346" i="5"/>
  <c r="AY346" i="5" s="1"/>
  <c r="AX460" i="5"/>
  <c r="AY460" i="5" s="1"/>
  <c r="AO73" i="4"/>
  <c r="AG73" i="4"/>
  <c r="AI73" i="4" s="1"/>
  <c r="AX69" i="5"/>
  <c r="AY69" i="5" s="1"/>
  <c r="AX416" i="5"/>
  <c r="AY416" i="5" s="1"/>
  <c r="AX268" i="5"/>
  <c r="AY268" i="5" s="1"/>
  <c r="AX399" i="5"/>
  <c r="AY399" i="5" s="1"/>
  <c r="AX281" i="5"/>
  <c r="AY281" i="5" s="1"/>
  <c r="AX330" i="5"/>
  <c r="AY330" i="5" s="1"/>
  <c r="AX192" i="5"/>
  <c r="AY192" i="5" s="1"/>
  <c r="AX126" i="5"/>
  <c r="AY126" i="5" s="1"/>
  <c r="AX162" i="5"/>
  <c r="AY162" i="5" s="1"/>
  <c r="AX170" i="5"/>
  <c r="AY170" i="5" s="1"/>
  <c r="AX336" i="5"/>
  <c r="AY336" i="5" s="1"/>
  <c r="AX293" i="5"/>
  <c r="AY293" i="5" s="1"/>
  <c r="AR117" i="4"/>
  <c r="AT117" i="4" s="1"/>
  <c r="AX91" i="5"/>
  <c r="AY91" i="5" s="1"/>
  <c r="AR119" i="4"/>
  <c r="AT119" i="4" s="1"/>
  <c r="AX524" i="5"/>
  <c r="AY524" i="5" s="1"/>
  <c r="AX437" i="5"/>
  <c r="AY437" i="5" s="1"/>
  <c r="AR56" i="4"/>
  <c r="AT56" i="4" s="1"/>
  <c r="AX536" i="5"/>
  <c r="AY536" i="5" s="1"/>
  <c r="AX296" i="5"/>
  <c r="AY296" i="5" s="1"/>
  <c r="AX253" i="5"/>
  <c r="AY253" i="5" s="1"/>
  <c r="AX502" i="5"/>
  <c r="AY502" i="5" s="1"/>
  <c r="AX391" i="5"/>
  <c r="AY391" i="5" s="1"/>
  <c r="AX250" i="5"/>
  <c r="AY250" i="5" s="1"/>
  <c r="AX412" i="5"/>
  <c r="AY412" i="5" s="1"/>
  <c r="AX114" i="5"/>
  <c r="AY114" i="5" s="1"/>
  <c r="AR110" i="4"/>
  <c r="AT110" i="4" s="1"/>
  <c r="AX284" i="5"/>
  <c r="AY284" i="5" s="1"/>
  <c r="AX533" i="5"/>
  <c r="AY533" i="5" s="1"/>
  <c r="AX332" i="5"/>
  <c r="AY332" i="5" s="1"/>
  <c r="AX327" i="5"/>
  <c r="AR13" i="4"/>
  <c r="AT13" i="4" s="1"/>
  <c r="AX31" i="5"/>
  <c r="AY31" i="5" s="1"/>
  <c r="AR153" i="4"/>
  <c r="AT153" i="4" s="1"/>
  <c r="AX285" i="5"/>
  <c r="AY285" i="5" s="1"/>
  <c r="AX181" i="5"/>
  <c r="AY181" i="5" s="1"/>
  <c r="AX406" i="5"/>
  <c r="AY406" i="5" s="1"/>
  <c r="AX363" i="5"/>
  <c r="AY363" i="5" s="1"/>
  <c r="AX142" i="5"/>
  <c r="AY142" i="5" s="1"/>
  <c r="AX38" i="5"/>
  <c r="AY38" i="5" s="1"/>
  <c r="AX499" i="5"/>
  <c r="AY499" i="5" s="1"/>
  <c r="AR68" i="4" l="1"/>
  <c r="AT68" i="4" s="1"/>
  <c r="AY368" i="5"/>
  <c r="AY394" i="5"/>
  <c r="AY327" i="5"/>
  <c r="AG64" i="4"/>
  <c r="AI64" i="4" s="1"/>
  <c r="AR64" i="4" s="1"/>
  <c r="AT64" i="4" s="1"/>
  <c r="AY351" i="5"/>
  <c r="AY364" i="5"/>
  <c r="AG63" i="4"/>
  <c r="AI63" i="4" s="1"/>
  <c r="AR63" i="4" s="1"/>
  <c r="AT63" i="4" s="1"/>
  <c r="AG91" i="4"/>
  <c r="AI91" i="4" s="1"/>
  <c r="AR91" i="4" s="1"/>
  <c r="AT91" i="4" s="1"/>
  <c r="AR66" i="4"/>
  <c r="AT66" i="4" s="1"/>
  <c r="AY385" i="5"/>
  <c r="AX371" i="5"/>
  <c r="AY371" i="5" s="1"/>
  <c r="AY375" i="5"/>
  <c r="AX507" i="5"/>
  <c r="AY507" i="5" s="1"/>
  <c r="AO76" i="4"/>
  <c r="AR76" i="4" s="1"/>
  <c r="AT76" i="4" s="1"/>
  <c r="AX522" i="5"/>
  <c r="AY522" i="5" s="1"/>
  <c r="AX234" i="5"/>
  <c r="AY234" i="5" s="1"/>
  <c r="AO12" i="4"/>
  <c r="AR12" i="4" s="1"/>
  <c r="AT12" i="4" s="1"/>
  <c r="AX482" i="5"/>
  <c r="AY482" i="5" s="1"/>
  <c r="AX376" i="5"/>
  <c r="AY376" i="5" s="1"/>
  <c r="AO37" i="4"/>
  <c r="AR37" i="4" s="1"/>
  <c r="AT37" i="4" s="1"/>
  <c r="AX451" i="5"/>
  <c r="AY451" i="5" s="1"/>
  <c r="AX402" i="5"/>
  <c r="AY402" i="5" s="1"/>
  <c r="AX469" i="5"/>
  <c r="AY469" i="5" s="1"/>
  <c r="AX529" i="5"/>
  <c r="AY529" i="5" s="1"/>
  <c r="AX462" i="5"/>
  <c r="AY462" i="5" s="1"/>
  <c r="AX465" i="5"/>
  <c r="AY465" i="5" s="1"/>
  <c r="AX243" i="5"/>
  <c r="AY243" i="5" s="1"/>
  <c r="AX540" i="5"/>
  <c r="AY540" i="5" s="1"/>
  <c r="AR142" i="4"/>
  <c r="AT142" i="4" s="1"/>
  <c r="AX468" i="5"/>
  <c r="AY468" i="5" s="1"/>
  <c r="AX307" i="5"/>
  <c r="AY307" i="5" s="1"/>
  <c r="AX518" i="5"/>
  <c r="AY518" i="5" s="1"/>
  <c r="AX555" i="5"/>
  <c r="AY555" i="5" s="1"/>
  <c r="AX312" i="5"/>
  <c r="AY312" i="5" s="1"/>
  <c r="AX390" i="5"/>
  <c r="AY390" i="5" s="1"/>
  <c r="AX455" i="5"/>
  <c r="AY455" i="5" s="1"/>
  <c r="AX478" i="5"/>
  <c r="AY478" i="5" s="1"/>
  <c r="AX474" i="5"/>
  <c r="AY474" i="5" s="1"/>
  <c r="AX266" i="5"/>
  <c r="AY266" i="5" s="1"/>
  <c r="AX200" i="5"/>
  <c r="AY200" i="5" s="1"/>
  <c r="AX57" i="5"/>
  <c r="AY57" i="5" s="1"/>
  <c r="AX374" i="5"/>
  <c r="AY374" i="5" s="1"/>
  <c r="AX410" i="5"/>
  <c r="AY410" i="5" s="1"/>
  <c r="AR125" i="4"/>
  <c r="AT125" i="4" s="1"/>
  <c r="AX41" i="5"/>
  <c r="AY41" i="5" s="1"/>
  <c r="AG22" i="4"/>
  <c r="AI22" i="4" s="1"/>
  <c r="AR22" i="4" s="1"/>
  <c r="AT22" i="4" s="1"/>
  <c r="AX513" i="5"/>
  <c r="AY513" i="5" s="1"/>
  <c r="AX305" i="5"/>
  <c r="AY305" i="5" s="1"/>
  <c r="AX315" i="5"/>
  <c r="AY315" i="5" s="1"/>
  <c r="AX295" i="5"/>
  <c r="AY295" i="5" s="1"/>
  <c r="AX213" i="5"/>
  <c r="AY213" i="5" s="1"/>
  <c r="AX221" i="5"/>
  <c r="AY221" i="5" s="1"/>
  <c r="AX145" i="5"/>
  <c r="AY145" i="5" s="1"/>
  <c r="AX185" i="5"/>
  <c r="AY185" i="5" s="1"/>
  <c r="AX443" i="5"/>
  <c r="AY443" i="5" s="1"/>
  <c r="AX36" i="5"/>
  <c r="AY36" i="5" s="1"/>
  <c r="AX360" i="5"/>
  <c r="AY360" i="5" s="1"/>
  <c r="AX354" i="5"/>
  <c r="AY354" i="5" s="1"/>
  <c r="AX359" i="5"/>
  <c r="AY359" i="5" s="1"/>
  <c r="AX248" i="5"/>
  <c r="AY248" i="5" s="1"/>
  <c r="AX301" i="5"/>
  <c r="AY301" i="5" s="1"/>
  <c r="AX174" i="5"/>
  <c r="AY174" i="5" s="1"/>
  <c r="AX112" i="5"/>
  <c r="AY112" i="5" s="1"/>
  <c r="AX428" i="5"/>
  <c r="AY428" i="5" s="1"/>
  <c r="AX310" i="5"/>
  <c r="AY310" i="5" s="1"/>
  <c r="AX47" i="5"/>
  <c r="AY47" i="5" s="1"/>
  <c r="AX157" i="5"/>
  <c r="AY157" i="5" s="1"/>
  <c r="AX493" i="5"/>
  <c r="AY493" i="5" s="1"/>
  <c r="AX119" i="5"/>
  <c r="AY119" i="5" s="1"/>
  <c r="AX344" i="5"/>
  <c r="AY344" i="5" s="1"/>
  <c r="AX60" i="5"/>
  <c r="AY60" i="5" s="1"/>
  <c r="AX461" i="5"/>
  <c r="AY461" i="5" s="1"/>
  <c r="AX259" i="5"/>
  <c r="AY259" i="5" s="1"/>
  <c r="AX238" i="5"/>
  <c r="AY238" i="5" s="1"/>
  <c r="AX403" i="5"/>
  <c r="AY403" i="5" s="1"/>
  <c r="AX194" i="5"/>
  <c r="AY194" i="5" s="1"/>
  <c r="AX66" i="5"/>
  <c r="AY66" i="5" s="1"/>
  <c r="AX93" i="5"/>
  <c r="AY93" i="5" s="1"/>
  <c r="AX178" i="5"/>
  <c r="AY178" i="5" s="1"/>
  <c r="AX263" i="5"/>
  <c r="AY263" i="5" s="1"/>
  <c r="AX89" i="5"/>
  <c r="AY89" i="5" s="1"/>
  <c r="AX244" i="5"/>
  <c r="AY244" i="5" s="1"/>
  <c r="AX140" i="5"/>
  <c r="AY140" i="5" s="1"/>
  <c r="AX276" i="5"/>
  <c r="AY276" i="5" s="1"/>
  <c r="AX220" i="5"/>
  <c r="AY220" i="5" s="1"/>
  <c r="AX210" i="5"/>
  <c r="AY210" i="5" s="1"/>
  <c r="AX550" i="5"/>
  <c r="AY550" i="5" s="1"/>
  <c r="AX452" i="5"/>
  <c r="AY452" i="5" s="1"/>
  <c r="AX75" i="5"/>
  <c r="AY75" i="5" s="1"/>
  <c r="AX383" i="5"/>
  <c r="AY383" i="5" s="1"/>
  <c r="AX404" i="5"/>
  <c r="AY404" i="5" s="1"/>
  <c r="AX401" i="5"/>
  <c r="AY401" i="5" s="1"/>
  <c r="AX230" i="5"/>
  <c r="AY230" i="5" s="1"/>
  <c r="AX317" i="5"/>
  <c r="AY317" i="5" s="1"/>
  <c r="AX554" i="5"/>
  <c r="AY554" i="5" s="1"/>
  <c r="AX149" i="5"/>
  <c r="AY149" i="5" s="1"/>
  <c r="AX104" i="5"/>
  <c r="AY104" i="5" s="1"/>
  <c r="AX237" i="5"/>
  <c r="AY237" i="5" s="1"/>
  <c r="AX82" i="5"/>
  <c r="AY82" i="5" s="1"/>
  <c r="AX133" i="5"/>
  <c r="AY133" i="5" s="1"/>
  <c r="AX110" i="5"/>
  <c r="AY110" i="5" s="1"/>
  <c r="AX377" i="5"/>
  <c r="AY377" i="5" s="1"/>
  <c r="AX217" i="5"/>
  <c r="AY217" i="5" s="1"/>
  <c r="AX228" i="5"/>
  <c r="AY228" i="5" s="1"/>
  <c r="AX98" i="5"/>
  <c r="AY98" i="5" s="1"/>
  <c r="AX492" i="5"/>
  <c r="AY492" i="5" s="1"/>
  <c r="AX501" i="5"/>
  <c r="AY501" i="5" s="1"/>
  <c r="AX496" i="5"/>
  <c r="AY496" i="5" s="1"/>
  <c r="AX74" i="5"/>
  <c r="AY74" i="5" s="1"/>
  <c r="AX167" i="5"/>
  <c r="AY167" i="5" s="1"/>
  <c r="AX405" i="5"/>
  <c r="AY405" i="5" s="1"/>
  <c r="AX131" i="5"/>
  <c r="AY131" i="5" s="1"/>
  <c r="AX387" i="5"/>
  <c r="AY387" i="5" s="1"/>
  <c r="AX65" i="5"/>
  <c r="AY65" i="5" s="1"/>
  <c r="AX400" i="5"/>
  <c r="AY400" i="5" s="1"/>
  <c r="AX156" i="5"/>
  <c r="AY156" i="5" s="1"/>
  <c r="AX64" i="5"/>
  <c r="AY64" i="5" s="1"/>
  <c r="AX409" i="5"/>
  <c r="AY409" i="5" s="1"/>
  <c r="AX196" i="5"/>
  <c r="AY196" i="5" s="1"/>
  <c r="AX473" i="5"/>
  <c r="AY473" i="5" s="1"/>
  <c r="AX528" i="5"/>
  <c r="AY528" i="5" s="1"/>
  <c r="AO133" i="4"/>
  <c r="AR133" i="4" s="1"/>
  <c r="AT133" i="4" s="1"/>
  <c r="AX291" i="5"/>
  <c r="AY291" i="5" s="1"/>
  <c r="AX527" i="5"/>
  <c r="AY527" i="5" s="1"/>
  <c r="AX320" i="5"/>
  <c r="AY320" i="5" s="1"/>
  <c r="AX271" i="5"/>
  <c r="AY271" i="5" s="1"/>
  <c r="AX558" i="5"/>
  <c r="AY558" i="5" s="1"/>
  <c r="AX249" i="5"/>
  <c r="AY249" i="5" s="1"/>
  <c r="AX510" i="5"/>
  <c r="AY510" i="5" s="1"/>
  <c r="AX322" i="5"/>
  <c r="AY322" i="5" s="1"/>
  <c r="AG26" i="4"/>
  <c r="AI26" i="4" s="1"/>
  <c r="AO26" i="4"/>
  <c r="AX340" i="5"/>
  <c r="AY340" i="5" s="1"/>
  <c r="AX298" i="5"/>
  <c r="AY298" i="5" s="1"/>
  <c r="AK155" i="4"/>
  <c r="AA130" i="4"/>
  <c r="AC130" i="4" s="1"/>
  <c r="AD130" i="4" s="1"/>
  <c r="AA144" i="4"/>
  <c r="AC144" i="4" s="1"/>
  <c r="AD144" i="4" s="1"/>
  <c r="AA155" i="4"/>
  <c r="AC155" i="4" s="1"/>
  <c r="AD155" i="4" s="1"/>
  <c r="AX235" i="5"/>
  <c r="AY235" i="5" s="1"/>
  <c r="AX292" i="5"/>
  <c r="AY292" i="5" s="1"/>
  <c r="AX486" i="5"/>
  <c r="AY486" i="5" s="1"/>
  <c r="AX497" i="5"/>
  <c r="AY497" i="5" s="1"/>
  <c r="AX457" i="5"/>
  <c r="AY457" i="5" s="1"/>
  <c r="AR84" i="4"/>
  <c r="AT84" i="4" s="1"/>
  <c r="AR79" i="4"/>
  <c r="AT79" i="4" s="1"/>
  <c r="AK144" i="4"/>
  <c r="AX325" i="5"/>
  <c r="AY325" i="5" s="1"/>
  <c r="AG130" i="4"/>
  <c r="AI130" i="4" s="1"/>
  <c r="AO130" i="4"/>
  <c r="AO62" i="4"/>
  <c r="AG62" i="4"/>
  <c r="AI62" i="4" s="1"/>
  <c r="AG10" i="4"/>
  <c r="AI10" i="4" s="1"/>
  <c r="AO10" i="4"/>
  <c r="AK141" i="4"/>
  <c r="AF141" i="4"/>
  <c r="AO101" i="4"/>
  <c r="AG101" i="4"/>
  <c r="AI101" i="4" s="1"/>
  <c r="AG144" i="4"/>
  <c r="AI144" i="4" s="1"/>
  <c r="AO144" i="4"/>
  <c r="AG94" i="4"/>
  <c r="AI94" i="4" s="1"/>
  <c r="AO94" i="4"/>
  <c r="AO58" i="4"/>
  <c r="AG58" i="4"/>
  <c r="AI58" i="4" s="1"/>
  <c r="AK130" i="4"/>
  <c r="AR132" i="4"/>
  <c r="AT132" i="4" s="1"/>
  <c r="AG24" i="4"/>
  <c r="AI24" i="4" s="1"/>
  <c r="AO24" i="4"/>
  <c r="AR105" i="4"/>
  <c r="AT105" i="4" s="1"/>
  <c r="AO155" i="4"/>
  <c r="AG155" i="4"/>
  <c r="AI155" i="4" s="1"/>
  <c r="AR140" i="4"/>
  <c r="AT140" i="4" s="1"/>
  <c r="AG83" i="4"/>
  <c r="AI83" i="4" s="1"/>
  <c r="AO83" i="4"/>
  <c r="AG34" i="4"/>
  <c r="AI34" i="4" s="1"/>
  <c r="AO34" i="4"/>
  <c r="AG59" i="4"/>
  <c r="AI59" i="4" s="1"/>
  <c r="AO59" i="4"/>
  <c r="AG21" i="4"/>
  <c r="AI21" i="4" s="1"/>
  <c r="AO21" i="4"/>
  <c r="AX207" i="5"/>
  <c r="AY207" i="5" s="1"/>
  <c r="AX233" i="5"/>
  <c r="AY233" i="5" s="1"/>
  <c r="AX549" i="5"/>
  <c r="AY549" i="5" s="1"/>
  <c r="AX195" i="5"/>
  <c r="AY195" i="5" s="1"/>
  <c r="AX546" i="5"/>
  <c r="AY546" i="5" s="1"/>
  <c r="AX442" i="5"/>
  <c r="AY442" i="5" s="1"/>
  <c r="AR86" i="4"/>
  <c r="AT86" i="4" s="1"/>
  <c r="AR8" i="4"/>
  <c r="AT8" i="4" s="1"/>
  <c r="AR54" i="4"/>
  <c r="AT54" i="4" s="1"/>
  <c r="AX352" i="5"/>
  <c r="AY352" i="5" s="1"/>
  <c r="AX422" i="5"/>
  <c r="AY422" i="5" s="1"/>
  <c r="AX51" i="5"/>
  <c r="AY51" i="5" s="1"/>
  <c r="AX545" i="5"/>
  <c r="AY545" i="5" s="1"/>
  <c r="AX534" i="5"/>
  <c r="AY534" i="5" s="1"/>
  <c r="AX419" i="5"/>
  <c r="AY419" i="5" s="1"/>
  <c r="AX190" i="5"/>
  <c r="AY190" i="5" s="1"/>
  <c r="AX55" i="5"/>
  <c r="AY55" i="5" s="1"/>
  <c r="AX541" i="5"/>
  <c r="AY541" i="5" s="1"/>
  <c r="AX526" i="5"/>
  <c r="AY526" i="5" s="1"/>
  <c r="AX246" i="5"/>
  <c r="AY246" i="5" s="1"/>
  <c r="AX357" i="5"/>
  <c r="AY357" i="5" s="1"/>
  <c r="AX95" i="5"/>
  <c r="AY95" i="5" s="1"/>
  <c r="AX124" i="5"/>
  <c r="AY124" i="5" s="1"/>
  <c r="AX106" i="5"/>
  <c r="AY106" i="5" s="1"/>
  <c r="AX164" i="5"/>
  <c r="AY164" i="5" s="1"/>
  <c r="AX61" i="5"/>
  <c r="AY61" i="5" s="1"/>
  <c r="AX171" i="5"/>
  <c r="AY171" i="5" s="1"/>
  <c r="AX154" i="5"/>
  <c r="AY154" i="5" s="1"/>
  <c r="AX152" i="5"/>
  <c r="AY152" i="5" s="1"/>
  <c r="AX27" i="5"/>
  <c r="AY27" i="5" s="1"/>
  <c r="AX516" i="5"/>
  <c r="AY516" i="5" s="1"/>
  <c r="AX227" i="5"/>
  <c r="AY227" i="5" s="1"/>
  <c r="AX88" i="5"/>
  <c r="AY88" i="5" s="1"/>
  <c r="AX519" i="5"/>
  <c r="AY519" i="5" s="1"/>
  <c r="AX366" i="5"/>
  <c r="AY366" i="5" s="1"/>
  <c r="AX242" i="5"/>
  <c r="AY242" i="5" s="1"/>
  <c r="AX189" i="5"/>
  <c r="AY189" i="5" s="1"/>
  <c r="AX441" i="5"/>
  <c r="AY441" i="5" s="1"/>
  <c r="B128" i="2"/>
  <c r="B134" i="2" s="1"/>
  <c r="AX50" i="5"/>
  <c r="AY50" i="5" s="1"/>
  <c r="AX40" i="5"/>
  <c r="AY40" i="5" s="1"/>
  <c r="AX29" i="5"/>
  <c r="AY29" i="5" s="1"/>
  <c r="AX414" i="5"/>
  <c r="AY414" i="5" s="1"/>
  <c r="AX155" i="5"/>
  <c r="AY155" i="5" s="1"/>
  <c r="AX334" i="5"/>
  <c r="AY334" i="5" s="1"/>
  <c r="AX430" i="5"/>
  <c r="AY430" i="5" s="1"/>
  <c r="K142" i="2"/>
  <c r="B131" i="2"/>
  <c r="B132" i="2" s="1"/>
  <c r="AR20" i="4"/>
  <c r="AT20" i="4" s="1"/>
  <c r="AX530" i="5"/>
  <c r="AY530" i="5" s="1"/>
  <c r="AR23" i="4"/>
  <c r="AT23" i="4" s="1"/>
  <c r="AR135" i="4"/>
  <c r="AT135" i="4" s="1"/>
  <c r="AR109" i="4"/>
  <c r="AT109" i="4" s="1"/>
  <c r="AR127" i="4"/>
  <c r="AT127" i="4" s="1"/>
  <c r="AR38" i="4"/>
  <c r="AT38" i="4" s="1"/>
  <c r="AR35" i="4"/>
  <c r="AT35" i="4" s="1"/>
  <c r="AR39" i="4"/>
  <c r="AT39" i="4" s="1"/>
  <c r="AR100" i="4"/>
  <c r="AT100" i="4" s="1"/>
  <c r="AR95" i="4"/>
  <c r="AT95" i="4" s="1"/>
  <c r="AR52" i="4"/>
  <c r="AT52" i="4" s="1"/>
  <c r="AR157" i="4"/>
  <c r="AT157" i="4" s="1"/>
  <c r="AR47" i="4"/>
  <c r="AT47" i="4" s="1"/>
  <c r="AR116" i="4"/>
  <c r="AT116" i="4" s="1"/>
  <c r="AR128" i="4"/>
  <c r="AT128" i="4" s="1"/>
  <c r="AR14" i="4"/>
  <c r="AT14" i="4" s="1"/>
  <c r="AR148" i="4"/>
  <c r="AT148" i="4" s="1"/>
  <c r="AR7" i="4"/>
  <c r="AT7" i="4" s="1"/>
  <c r="AR77" i="4"/>
  <c r="AT77" i="4" s="1"/>
  <c r="AR126" i="4"/>
  <c r="AT126" i="4" s="1"/>
  <c r="AR69" i="4"/>
  <c r="AT69" i="4" s="1"/>
  <c r="AR150" i="4"/>
  <c r="AT150" i="4" s="1"/>
  <c r="AR137" i="4"/>
  <c r="AT137" i="4" s="1"/>
  <c r="AR93" i="4"/>
  <c r="AT93" i="4" s="1"/>
  <c r="AR134" i="4"/>
  <c r="AT134" i="4" s="1"/>
  <c r="AR73" i="4"/>
  <c r="AT73" i="4" s="1"/>
  <c r="AR26" i="4" l="1"/>
  <c r="AT26" i="4" s="1"/>
  <c r="AR59" i="4"/>
  <c r="AT59" i="4" s="1"/>
  <c r="AR94" i="4"/>
  <c r="AT94" i="4" s="1"/>
  <c r="AR10" i="4"/>
  <c r="AT10" i="4" s="1"/>
  <c r="AR34" i="4"/>
  <c r="AT34" i="4" s="1"/>
  <c r="AR24" i="4"/>
  <c r="AT24" i="4" s="1"/>
  <c r="AR144" i="4"/>
  <c r="AT144" i="4" s="1"/>
  <c r="AR155" i="4"/>
  <c r="AT155" i="4" s="1"/>
  <c r="AR130" i="4"/>
  <c r="AT130" i="4" s="1"/>
  <c r="AR21" i="4"/>
  <c r="AT21" i="4" s="1"/>
  <c r="AG141" i="4"/>
  <c r="AI141" i="4" s="1"/>
  <c r="AO141" i="4"/>
  <c r="AR58" i="4"/>
  <c r="AT58" i="4" s="1"/>
  <c r="AR62" i="4"/>
  <c r="AT62" i="4" s="1"/>
  <c r="AR83" i="4"/>
  <c r="AT83" i="4" s="1"/>
  <c r="AR101" i="4"/>
  <c r="AT101" i="4" s="1"/>
  <c r="AY14" i="5"/>
  <c r="D69" i="5" s="1"/>
  <c r="B69" i="5" s="1"/>
  <c r="A69" i="5" s="1"/>
  <c r="L68" i="1" s="1"/>
  <c r="K136" i="2"/>
  <c r="B136" i="2" s="1"/>
  <c r="H31" i="1" s="1"/>
  <c r="AY12" i="5"/>
  <c r="D68" i="5" s="1"/>
  <c r="B68" i="5" s="1"/>
  <c r="A68" i="5" s="1"/>
  <c r="L67" i="1" s="1"/>
  <c r="B135" i="2"/>
  <c r="H30" i="1" s="1"/>
  <c r="AR141" i="4" l="1"/>
  <c r="AT14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Schauer, Stefan</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Note: When not using an english Excel version and a #name error is displayed after change a value try pressing Shift+ALT+CTRL+F9 and change the value again.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BIAS pin voltage operating range is 3.5V to 45V.
The LM5156 BIAS pin voltage operating range is 3.5V to 60V.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52"/>
            <rFont val="Tahoma"/>
            <family val="2"/>
          </rPr>
          <t>The text in the cell is flagged orange if:</t>
        </r>
        <r>
          <rPr>
            <b/>
            <sz val="9"/>
            <color indexed="81"/>
            <rFont val="Tahoma"/>
            <family val="2"/>
          </rPr>
          <t xml:space="preserve">
</t>
        </r>
        <r>
          <rPr>
            <sz val="9"/>
            <color indexed="81"/>
            <rFont val="Tahoma"/>
            <family val="2"/>
          </rPr>
          <t>-The input voltage is above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60V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sz val="9"/>
            <color indexed="81"/>
            <rFont val="Tahoma"/>
            <family val="2"/>
          </rPr>
          <t xml:space="preserve">The LM5156 input voltage operating range is 1.5V to 60V.
</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The LM5156 input voltage operating range is 1.5V to 60V.
</t>
        </r>
        <r>
          <rPr>
            <b/>
            <sz val="9"/>
            <color indexed="10"/>
            <rFont val="Tahoma"/>
            <family val="2"/>
          </rPr>
          <t xml:space="preserve">
</t>
        </r>
        <r>
          <rPr>
            <b/>
            <sz val="9"/>
            <color indexed="52"/>
            <rFont val="Tahoma"/>
            <family val="2"/>
          </rPr>
          <t>The text in the cell is flagged orange if:</t>
        </r>
        <r>
          <rPr>
            <b/>
            <sz val="9"/>
            <color indexed="10"/>
            <rFont val="Tahoma"/>
            <family val="2"/>
          </rPr>
          <t xml:space="preserve">
</t>
        </r>
        <r>
          <rPr>
            <sz val="9"/>
            <color indexed="81"/>
            <rFont val="Tahoma"/>
            <family val="2"/>
          </rPr>
          <t>-The input voltage is above 45V</t>
        </r>
        <r>
          <rPr>
            <b/>
            <sz val="9"/>
            <color indexed="10"/>
            <rFont val="Tahoma"/>
            <family val="2"/>
          </rPr>
          <t xml:space="preserve">
The text in the cell is flagged red if:</t>
        </r>
        <r>
          <rPr>
            <sz val="9"/>
            <color indexed="81"/>
            <rFont val="Tahoma"/>
            <family val="2"/>
          </rPr>
          <t xml:space="preserve">
-The input voltage is above 60V
-The input voltage is below 1.5V
</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4" authorId="0" shapeId="0" xr:uid="{00000000-0006-0000-0000-000008000000}">
      <text>
        <r>
          <rPr>
            <b/>
            <sz val="9"/>
            <color indexed="81"/>
            <rFont val="Tahoma"/>
            <family val="2"/>
          </rPr>
          <t xml:space="preserve">Estimated Efficiency
</t>
        </r>
        <r>
          <rPr>
            <sz val="9"/>
            <color indexed="81"/>
            <rFont val="Tahoma"/>
            <family val="2"/>
          </rPr>
          <t>A good estimate at full load current and Vsupply(min) is around the 90% to 93% range</t>
        </r>
      </text>
    </comment>
    <comment ref="G16" authorId="0" shapeId="0" xr:uid="{00000000-0006-0000-0000-000009000000}">
      <text>
        <r>
          <rPr>
            <b/>
            <sz val="9"/>
            <color indexed="81"/>
            <rFont val="Tahoma"/>
            <family val="2"/>
          </rPr>
          <t xml:space="preserve">Maximum duty cycle
</t>
        </r>
        <r>
          <rPr>
            <sz val="9"/>
            <color indexed="81"/>
            <rFont val="Tahoma"/>
            <family val="2"/>
          </rPr>
          <t xml:space="preserve">Limit of the LM5155. See the datasheet for more detail on how the maximum duty cycle changes with switching frequency
</t>
        </r>
      </text>
    </comment>
    <comment ref="G17" authorId="1" shapeId="0" xr:uid="{08B8E066-477C-411E-B516-1DCAD11E8DA9}">
      <text>
        <r>
          <rPr>
            <b/>
            <sz val="9"/>
            <color indexed="81"/>
            <rFont val="Tahoma"/>
            <family val="2"/>
          </rPr>
          <t xml:space="preserve">Ideal Duty Cycle at Vsupply(MIN):
</t>
        </r>
        <r>
          <rPr>
            <sz val="9"/>
            <color indexed="81"/>
            <rFont val="Tahoma"/>
            <family val="2"/>
          </rPr>
          <t xml:space="preserve">
Calculated with  1- (VIN_min/VOUT). 
</t>
        </r>
        <r>
          <rPr>
            <b/>
            <sz val="9"/>
            <color indexed="10"/>
            <rFont val="Tahoma"/>
            <family val="2"/>
          </rPr>
          <t xml:space="preserve">The text in the cell is flagged red if:
</t>
        </r>
        <r>
          <rPr>
            <sz val="9"/>
            <color indexed="81"/>
            <rFont val="Tahoma"/>
            <family val="2"/>
          </rPr>
          <t xml:space="preserve">- The duty cycle is above the Limit value (in the cell above)
  Based on the limits given in the datasheet
</t>
        </r>
      </text>
    </comment>
    <comment ref="G18" authorId="1" shapeId="0" xr:uid="{74A21C24-1F16-4017-9418-3CDE4814AE31}">
      <text>
        <r>
          <rPr>
            <b/>
            <sz val="9"/>
            <color indexed="81"/>
            <rFont val="Tahoma"/>
            <family val="2"/>
          </rPr>
          <t xml:space="preserve">Select the Operation mode:
</t>
        </r>
        <r>
          <rPr>
            <sz val="9"/>
            <color indexed="81"/>
            <rFont val="Tahoma"/>
            <family val="2"/>
          </rPr>
          <t xml:space="preserve">Select the operation mode at maximum load:
CCM: Continious Contuction Mode
DCM: Discontinious Contuction Mode
</t>
        </r>
      </text>
    </comment>
    <comment ref="G21" authorId="0" shapeId="0" xr:uid="{00000000-0006-0000-0000-00000A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t>
        </r>
      </text>
    </comment>
    <comment ref="G23" authorId="0" shapeId="0" xr:uid="{00000000-0006-0000-0000-00000B000000}">
      <text>
        <r>
          <rPr>
            <b/>
            <sz val="9"/>
            <color indexed="81"/>
            <rFont val="Tahoma"/>
            <family val="2"/>
          </rPr>
          <t xml:space="preserve">Filter Inductance:
</t>
        </r>
        <r>
          <rPr>
            <sz val="9"/>
            <color indexed="81"/>
            <rFont val="Tahoma"/>
            <family val="2"/>
          </rPr>
          <t xml:space="preserve">Enter the filter inductance here.
</t>
        </r>
        <r>
          <rPr>
            <b/>
            <sz val="9"/>
            <color indexed="10"/>
            <rFont val="Tahoma"/>
            <family val="2"/>
          </rPr>
          <t xml:space="preserve">The text in the cell is flagged red if:
</t>
        </r>
        <r>
          <rPr>
            <sz val="9"/>
            <color indexed="81"/>
            <rFont val="Tahoma"/>
            <family val="2"/>
          </rPr>
          <t xml:space="preserve">The selected inductance will not be supported the above set operation mode at maximum load.
(Checked only at the 3 given Supply Voltages (Min/Nom/Max).
</t>
        </r>
      </text>
    </comment>
    <comment ref="G24" authorId="0" shapeId="0" xr:uid="{00000000-0006-0000-0000-00000C000000}">
      <text>
        <r>
          <rPr>
            <b/>
            <sz val="9"/>
            <color indexed="81"/>
            <rFont val="Tahoma"/>
            <family val="2"/>
          </rPr>
          <t xml:space="preserve">Inductor DCR:
</t>
        </r>
        <r>
          <rPr>
            <sz val="9"/>
            <color indexed="81"/>
            <rFont val="Tahoma"/>
            <family val="2"/>
          </rPr>
          <t xml:space="preserve">Enter the inductor DC resistance here. This is typically specified in the inductor datasheet at 25°C copper temperature.
</t>
        </r>
      </text>
    </comment>
    <comment ref="G25"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8" authorId="0" shapeId="0" xr:uid="{00000000-0006-0000-0000-00000E000000}">
      <text>
        <r>
          <rPr>
            <b/>
            <sz val="9"/>
            <color indexed="81"/>
            <rFont val="Tahoma"/>
            <family val="2"/>
          </rPr>
          <t>Peak Current Limit Margin</t>
        </r>
        <r>
          <rPr>
            <sz val="9"/>
            <color indexed="81"/>
            <rFont val="Tahoma"/>
            <family val="2"/>
          </rPr>
          <t xml:space="preserve">
Margin above the calculated peak inductor current. Margin must be given to allow for load transients and component tolerances.
Value should be higher then 15% to avoid false triggers.
The recommended value from the Datasheet is 20%.</t>
        </r>
      </text>
    </comment>
    <comment ref="G29"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30"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31" authorId="0" shapeId="0" xr:uid="{00000000-0006-0000-0000-000011000000}">
      <text>
        <r>
          <rPr>
            <b/>
            <sz val="9"/>
            <color indexed="81"/>
            <rFont val="Tahoma"/>
            <family val="2"/>
          </rPr>
          <t>Calculated External Slope Compensation Resistor</t>
        </r>
        <r>
          <rPr>
            <sz val="9"/>
            <color indexed="81"/>
            <rFont val="Tahoma"/>
            <family val="2"/>
          </rPr>
          <t xml:space="preserve">
Calculated external slope compensation resistor based on the desired maximum peak current limit. 
</t>
        </r>
      </text>
    </comment>
    <comment ref="G35" authorId="0" shapeId="0" xr:uid="{00000000-0006-0000-0000-000013000000}">
      <text>
        <r>
          <rPr>
            <b/>
            <sz val="9"/>
            <color indexed="81"/>
            <rFont val="Tahoma"/>
            <family val="2"/>
          </rPr>
          <t>The saturation current of the inductor must be higher than the peak inductor current limint. 
Recommended Margin is ~15%</t>
        </r>
      </text>
    </comment>
    <comment ref="G38" authorId="1" shapeId="0" xr:uid="{34A1C02D-A92A-4231-935A-D27CE25D0CCD}">
      <text>
        <r>
          <rPr>
            <b/>
            <sz val="9"/>
            <color indexed="81"/>
            <rFont val="Tahoma"/>
            <family val="2"/>
          </rPr>
          <t xml:space="preserve">Peak to Peak Voltage Ripple
</t>
        </r>
        <r>
          <rPr>
            <sz val="9"/>
            <color indexed="81"/>
            <rFont val="Tahoma"/>
            <family val="2"/>
          </rPr>
          <t>Desired output voltage transient for 50% load to 100% load step.</t>
        </r>
      </text>
    </comment>
    <comment ref="G45" authorId="1" shapeId="0" xr:uid="{27BE2E58-6B05-4EB2-ACEC-FABDB0D92520}">
      <text>
        <r>
          <rPr>
            <b/>
            <sz val="9"/>
            <color indexed="81"/>
            <rFont val="Tahoma"/>
            <family val="2"/>
          </rPr>
          <t xml:space="preserve">Suggested min. Softstart Capacitor
</t>
        </r>
        <r>
          <rPr>
            <sz val="9"/>
            <color indexed="81"/>
            <rFont val="Tahoma"/>
            <family val="2"/>
          </rPr>
          <t xml:space="preserve">
The suggested min. Softstart Capacitor is set to avoid overshoot of the output voltage.
It is based on the Load Current and Output Capacitor.
</t>
        </r>
      </text>
    </comment>
    <comment ref="G57" authorId="0" shapeId="0" xr:uid="{00000000-0006-0000-0000-000014000000}">
      <text>
        <r>
          <rPr>
            <b/>
            <sz val="9"/>
            <color indexed="81"/>
            <rFont val="Tahoma"/>
            <family val="2"/>
          </rPr>
          <t xml:space="preserve">Changes the input voltage value. Allow for evaluation of the control loop and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 ref="G62" authorId="1" shapeId="0" xr:uid="{CAA0D2B2-1619-4A36-A8E5-8EF89AE0C27B}">
      <text>
        <r>
          <rPr>
            <b/>
            <sz val="9"/>
            <color indexed="81"/>
            <rFont val="Tahoma"/>
            <family val="2"/>
          </rPr>
          <t>Select Bottomresistor R</t>
        </r>
        <r>
          <rPr>
            <b/>
            <sz val="8"/>
            <color indexed="81"/>
            <rFont val="Tahoma"/>
            <family val="2"/>
          </rPr>
          <t>FBB</t>
        </r>
        <r>
          <rPr>
            <b/>
            <sz val="9"/>
            <color indexed="81"/>
            <rFont val="Tahoma"/>
            <family val="2"/>
          </rPr>
          <t xml:space="preserve">
</t>
        </r>
        <r>
          <rPr>
            <sz val="9"/>
            <color indexed="81"/>
            <rFont val="Tahoma"/>
            <family val="2"/>
          </rPr>
          <t xml:space="preserve">
Select the closes value to the calculated bottom feedback resistor based on the used standard resistor series (e.g. E48).</t>
        </r>
      </text>
    </comment>
    <comment ref="F69" authorId="1" shapeId="0" xr:uid="{CA3EAB78-A137-4F5E-A063-15FB6763AD4F}">
      <text>
        <r>
          <rPr>
            <b/>
            <sz val="9"/>
            <color indexed="81"/>
            <rFont val="Tahoma"/>
            <family val="2"/>
          </rPr>
          <t xml:space="preserve">Calculated Loop Comenstation Values:
</t>
        </r>
        <r>
          <rPr>
            <sz val="9"/>
            <color indexed="81"/>
            <rFont val="Tahoma"/>
            <family val="2"/>
          </rPr>
          <t xml:space="preserve">The calculation of this loop compensation values are based on the selected bandwidth (Fco) and the minimum input Voltage Vin.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21" authorId="0" shapeId="0" xr:uid="{00000000-0006-0000-0100-000001000000}">
      <text>
        <r>
          <rPr>
            <b/>
            <sz val="9"/>
            <color indexed="81"/>
            <rFont val="Tahoma"/>
            <family val="2"/>
          </rPr>
          <t>Forced off time limit? 
[2 True, 1 False]</t>
        </r>
        <r>
          <rPr>
            <sz val="9"/>
            <color indexed="81"/>
            <rFont val="Tahoma"/>
            <family val="2"/>
          </rPr>
          <t xml:space="preserve">
</t>
        </r>
      </text>
    </comment>
    <comment ref="K14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4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<sst xmlns="http://schemas.openxmlformats.org/spreadsheetml/2006/main" count="987" uniqueCount="582">
  <si>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</si>
  <si>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</si>
  <si>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</si>
  <si>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</si>
  <si>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</si>
  <si>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</si>
  <si>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</si>
  <si>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</si>
  <si>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</si>
  <si>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Estimated Efficiency</t>
  </si>
  <si>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</si>
  <si>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</si>
  <si>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</si>
  <si>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</si>
  <si>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</si>
  <si>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</si>
  <si>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</si>
  <si>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</si>
  <si>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</si>
  <si>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</si>
  <si>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</si>
  <si>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</si>
  <si>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</si>
  <si>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</si>
  <si>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</si>
  <si>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</si>
  <si>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</si>
  <si>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</si>
  <si>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</si>
  <si>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</si>
  <si>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</si>
  <si>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</si>
  <si>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</si>
  <si>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</si>
  <si>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</si>
  <si>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</si>
  <si>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</si>
  <si>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</si>
  <si>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</si>
  <si>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</si>
  <si>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Estimated efficiency</t>
  </si>
  <si>
    <t>Total output power</t>
  </si>
  <si>
    <t>Minimum load resistance</t>
  </si>
  <si>
    <t>Dc_max_ideal</t>
  </si>
  <si>
    <t>Maximum duty cycle at the minimum input voltage</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</si>
  <si>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</si>
  <si>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</si>
  <si>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</si>
  <si>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</si>
  <si>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</si>
  <si>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</si>
  <si>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</si>
  <si>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</si>
  <si>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</si>
  <si>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</si>
  <si>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</si>
  <si>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</si>
  <si>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</si>
  <si>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</si>
  <si>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</si>
  <si>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</si>
  <si>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</si>
  <si>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</si>
  <si>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</si>
  <si>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</si>
  <si>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</si>
  <si>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</si>
  <si>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</si>
  <si>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</si>
  <si>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</si>
  <si>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</si>
  <si>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</si>
  <si>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Forced off time limit? [2 True, 1 False]</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</si>
  <si>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</si>
  <si>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</si>
  <si>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</si>
  <si>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</si>
  <si>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</si>
  <si>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</si>
  <si>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</si>
  <si>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</si>
  <si>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</si>
  <si>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</si>
  <si>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</si>
  <si>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</si>
  <si>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Duty cycle at the mimum input voltage (CCM)</t>
  </si>
  <si>
    <t>Duty cycle at the nominal input voltage (CCM)</t>
  </si>
  <si>
    <t>Duty cycle at the maximum input voltage (CCM)</t>
  </si>
  <si>
    <t>ton_min</t>
  </si>
  <si>
    <t>Typical Ton minimum value</t>
  </si>
  <si>
    <t>Lcalc_VIN_min</t>
  </si>
  <si>
    <t>Inductor at Minimum input voltage</t>
  </si>
  <si>
    <t>IL_avg_VIN_min</t>
  </si>
  <si>
    <t>IL_avg_VIN_nom</t>
  </si>
  <si>
    <t>IL_avg_VIN_max</t>
  </si>
  <si>
    <t>Average input current at minimum input voltage. 100% Eff assumed</t>
  </si>
  <si>
    <t>Average input current at nominal input voltage. 100% Eff assumed</t>
  </si>
  <si>
    <t>Average input current at maximum input voltage. 100% Eff assumed</t>
  </si>
  <si>
    <t>H</t>
  </si>
  <si>
    <t>ILrip</t>
  </si>
  <si>
    <t>Lopt</t>
  </si>
  <si>
    <t>Optimal inductor. Based off the average</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</si>
  <si>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</si>
  <si>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</si>
  <si>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</si>
  <si>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</si>
  <si>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</si>
  <si>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Strategy 1</t>
  </si>
  <si>
    <t>Strategy 2</t>
  </si>
  <si>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</si>
  <si>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</si>
  <si>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</si>
  <si>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</si>
  <si>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</si>
  <si>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</si>
  <si>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</si>
  <si>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</si>
  <si>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</si>
  <si>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</si>
  <si>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</si>
  <si>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</si>
  <si>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</si>
  <si>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</si>
  <si>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</si>
  <si>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</si>
  <si>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</si>
  <si>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</si>
  <si>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</si>
  <si>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</si>
  <si>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</si>
  <si>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</si>
  <si>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</si>
  <si>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</si>
  <si>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</si>
  <si>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This value used to make the selection</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</si>
  <si>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</si>
  <si>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</si>
  <si>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</si>
  <si>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</si>
  <si>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</si>
  <si>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</si>
  <si>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</si>
  <si>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</si>
  <si>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</si>
  <si>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</si>
  <si>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</si>
  <si>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</si>
  <si>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</si>
  <si>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</si>
  <si>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</si>
  <si>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</si>
  <si>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</si>
  <si>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</si>
  <si>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External Compensation? (0-no, 1-yes)</t>
  </si>
  <si>
    <t>Rcs_w_sl</t>
  </si>
  <si>
    <t>Rcs_ext_sl_ratio</t>
  </si>
  <si>
    <t>External Slope compensation ratio. Constant</t>
  </si>
  <si>
    <t>R_sl_ext</t>
  </si>
  <si>
    <t>R_cs_calc</t>
  </si>
  <si>
    <t>R_sl_calc</t>
  </si>
  <si>
    <t>R_cs</t>
  </si>
  <si>
    <t>R_sl</t>
  </si>
  <si>
    <t>Current Sense Resistor calculated</t>
  </si>
  <si>
    <t>External slope compensation resistor</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</si>
  <si>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</si>
  <si>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</si>
  <si>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</si>
  <si>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</si>
  <si>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</si>
  <si>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</si>
  <si>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</si>
  <si>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</si>
  <si>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</si>
  <si>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</si>
  <si>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</si>
  <si>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</si>
  <si>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</si>
  <si>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</si>
  <si>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</si>
  <si>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</si>
  <si>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</si>
  <si>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</si>
  <si>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</si>
  <si>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</si>
  <si>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Will add this later. Can be left off for APL</t>
  </si>
  <si>
    <t>Step 4: Output Capacitor Selection</t>
  </si>
  <si>
    <t>mV</t>
  </si>
  <si>
    <t xml:space="preserve">Minimum output capacitance </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</si>
  <si>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</si>
  <si>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</si>
  <si>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</si>
  <si>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Recommend Minimum Inductor Saturation Current Rating</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</si>
  <si>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</si>
  <si>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</si>
  <si>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</si>
  <si>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</si>
  <si>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</si>
  <si>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t>RMS current of the output capacitor at VIN min IOUT max. RMS current rating should be larger than this.</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</si>
  <si>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</si>
  <si>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</si>
  <si>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</si>
  <si>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</si>
  <si>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</si>
  <si>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</si>
  <si>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</si>
  <si>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</si>
  <si>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</si>
  <si>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</si>
  <si>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</si>
  <si>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</si>
  <si>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</si>
  <si>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</si>
  <si>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</si>
  <si>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</si>
  <si>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</si>
  <si>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</si>
  <si>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</si>
  <si>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</si>
  <si>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</si>
  <si>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</si>
  <si>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</si>
  <si>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</si>
  <si>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</si>
  <si>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</si>
  <si>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</si>
  <si>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</si>
  <si>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</si>
  <si>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</si>
  <si>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</si>
  <si>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</si>
  <si>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</si>
  <si>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</si>
  <si>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</si>
  <si>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</si>
  <si>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</si>
  <si>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</si>
  <si>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</si>
  <si>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</si>
  <si>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</si>
  <si>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</si>
  <si>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</si>
  <si>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</si>
  <si>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</si>
  <si>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</si>
  <si>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</si>
  <si>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</si>
  <si>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</si>
  <si>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</si>
  <si>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</si>
  <si>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</si>
  <si>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</si>
  <si>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</si>
  <si>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</si>
  <si>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</si>
  <si>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</si>
  <si>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</si>
  <si>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</si>
  <si>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</si>
  <si>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</si>
  <si>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</si>
  <si>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</si>
  <si>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</si>
  <si>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Plant Parameters</t>
  </si>
  <si>
    <t>wz_ea</t>
  </si>
  <si>
    <t>Adc_ea</t>
  </si>
  <si>
    <t>gm_ea</t>
  </si>
  <si>
    <t>Error Amplifier Gain</t>
  </si>
  <si>
    <t>A/V</t>
  </si>
  <si>
    <t>wp0_ea</t>
  </si>
  <si>
    <t>wp1_ea</t>
  </si>
  <si>
    <t>ADC_ea</t>
  </si>
  <si>
    <t xml:space="preserve">Gain </t>
  </si>
  <si>
    <t>Open Loop Response</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</si>
  <si>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</si>
  <si>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</si>
  <si>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</si>
  <si>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</si>
  <si>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</si>
  <si>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</si>
  <si>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</si>
  <si>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</si>
  <si>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</si>
  <si>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</si>
  <si>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</si>
  <si>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</si>
  <si>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</si>
  <si>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</si>
  <si>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</si>
  <si>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</si>
  <si>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</si>
  <si>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</si>
  <si>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</si>
  <si>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</si>
  <si>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Fcross_est</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</si>
  <si>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</si>
  <si>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</si>
  <si>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</si>
  <si>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</si>
  <si>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Conservative. Set Fcross to be 1/5th the RHP zero frequency or 1/10th SW: whichever is lower</t>
  </si>
  <si>
    <t>Select the lower crossover frequency</t>
  </si>
  <si>
    <t>Gplant_fc</t>
  </si>
  <si>
    <t>Gain of the plant at the desired crossover frequency</t>
  </si>
  <si>
    <t>Fcross</t>
  </si>
  <si>
    <t>wz_RHP</t>
  </si>
  <si>
    <t>Gplant_fc_dB</t>
  </si>
  <si>
    <t>Plant gain at crossover frequency (dB)</t>
  </si>
  <si>
    <t>Gea_mid_calc</t>
  </si>
  <si>
    <t>Error Amplifier Mid-band gain to set cross over frequency correctly</t>
  </si>
  <si>
    <t>Rcomp_Calc</t>
  </si>
  <si>
    <t>Calculate on based on the desired Mid-band gain needed to set the crossover frequency</t>
  </si>
  <si>
    <t>fz_ea_est</t>
  </si>
  <si>
    <t>Set the fz_ea 1/10th the cross over frequency (Common approach)</t>
  </si>
  <si>
    <t>Set the fz_ea geometerically inbetween crossover and the wp_lf</t>
  </si>
  <si>
    <t>Fz_ea_1</t>
  </si>
  <si>
    <t>Fz_ea_2</t>
  </si>
  <si>
    <t>CCOMP_calc</t>
  </si>
  <si>
    <t>CHF_Calc</t>
  </si>
  <si>
    <t>fp_ea_est</t>
  </si>
  <si>
    <r>
      <t>Select a top feedback resistor(R</t>
    </r>
    <r>
      <rPr>
        <vertAlign val="subscript"/>
        <sz val="11"/>
        <color theme="1"/>
        <rFont val="Calibri"/>
        <family val="2"/>
        <scheme val="minor"/>
      </rPr>
      <t>FBT</t>
    </r>
    <r>
      <rPr>
        <sz val="11"/>
        <color theme="1"/>
        <rFont val="Calibri"/>
        <family val="2"/>
        <scheme val="minor"/>
      </rPr>
      <t>)</t>
    </r>
  </si>
  <si>
    <t>Step 5: Soft-Start Capacitor Selection</t>
  </si>
  <si>
    <t>Step 6: UVLO Resistor Divider Selection</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</si>
  <si>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</si>
  <si>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</si>
  <si>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</si>
  <si>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</si>
  <si>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</si>
  <si>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</si>
  <si>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</si>
  <si>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</si>
  <si>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</si>
  <si>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</si>
  <si>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</si>
  <si>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</si>
  <si>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</si>
  <si>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</si>
  <si>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</si>
  <si>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</si>
  <si>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</si>
  <si>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</si>
  <si>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</si>
  <si>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</si>
  <si>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</si>
  <si>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</si>
  <si>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</si>
  <si>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</si>
  <si>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</si>
  <si>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</si>
  <si>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</si>
  <si>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</si>
  <si>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</si>
  <si>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</si>
  <si>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</si>
  <si>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</si>
  <si>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</si>
  <si>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</si>
  <si>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</si>
  <si>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</si>
  <si>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</si>
  <si>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</si>
  <si>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</si>
  <si>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</si>
  <si>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</si>
  <si>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</si>
  <si>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</si>
  <si>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</si>
  <si>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</si>
  <si>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</si>
  <si>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</si>
  <si>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</si>
  <si>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</si>
  <si>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</si>
  <si>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</si>
  <si>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</si>
  <si>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</si>
  <si>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</si>
  <si>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</si>
  <si>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</si>
  <si>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</si>
  <si>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</si>
  <si>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</si>
  <si>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</si>
  <si>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</si>
  <si>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</si>
  <si>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</si>
  <si>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</si>
  <si>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</si>
  <si>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</si>
  <si>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</si>
  <si>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</si>
  <si>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</si>
  <si>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</si>
  <si>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</si>
  <si>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</si>
  <si>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</si>
  <si>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</si>
  <si>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</si>
  <si>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</si>
  <si>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</si>
  <si>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</si>
  <si>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</si>
  <si>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</si>
  <si>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</si>
  <si>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</si>
  <si>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</si>
  <si>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</si>
  <si>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</si>
  <si>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</si>
  <si>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</si>
  <si>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</si>
  <si>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</si>
  <si>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</si>
  <si>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</si>
  <si>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</si>
  <si>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</si>
  <si>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</si>
  <si>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</si>
  <si>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</si>
  <si>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</si>
  <si>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</si>
  <si>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</si>
  <si>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</si>
  <si>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</si>
  <si>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</si>
  <si>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</si>
  <si>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</si>
  <si>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</si>
  <si>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</si>
  <si>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</si>
  <si>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</si>
  <si>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</si>
  <si>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</si>
  <si>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</si>
  <si>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</si>
  <si>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</si>
  <si>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</si>
  <si>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</si>
  <si>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</si>
  <si>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</si>
  <si>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</si>
  <si>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</si>
  <si>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</si>
  <si>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</si>
  <si>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</si>
  <si>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</si>
  <si>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</si>
  <si>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</si>
  <si>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Inductor</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</si>
  <si>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</si>
  <si>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</si>
  <si>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</si>
  <si>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</si>
  <si>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Variable output current (Need to add this in</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</si>
  <si>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</si>
  <si>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</si>
  <si>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</si>
  <si>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</si>
  <si>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</si>
  <si>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</si>
  <si>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</si>
  <si>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</si>
  <si>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</si>
  <si>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</si>
  <si>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</si>
  <si>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</si>
  <si>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</si>
  <si>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</si>
  <si>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</si>
  <si>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</si>
  <si>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</si>
  <si>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</si>
  <si>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</si>
  <si>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</si>
  <si>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</si>
  <si>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</si>
  <si>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</si>
  <si>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</si>
  <si>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</si>
  <si>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</si>
  <si>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</si>
  <si>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</si>
  <si>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</si>
  <si>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</si>
  <si>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</si>
  <si>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</si>
  <si>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</si>
  <si>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</si>
  <si>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Boost Converter Duty Cycle Limit by LM5155 at V</t>
    </r>
    <r>
      <rPr>
        <vertAlign val="subscript"/>
        <sz val="10"/>
        <color theme="1"/>
        <rFont val="Calibri"/>
        <family val="2"/>
        <scheme val="minor"/>
      </rPr>
      <t>SUPPLY(MIN)</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</si>
  <si>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</si>
  <si>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</si>
  <si>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</si>
  <si>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</si>
  <si>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</si>
  <si>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</si>
  <si>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</si>
  <si>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</si>
  <si>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CCM</t>
  </si>
  <si>
    <t>DCM</t>
  </si>
  <si>
    <t>Dc_DCM_max_ideal</t>
  </si>
  <si>
    <t>Duty cycle at the mimum input voltage (DCM)</t>
  </si>
  <si>
    <t>Duty cycle at the nominal input voltage (DCM)</t>
  </si>
  <si>
    <t>Duty cycle at the maximum input voltage (DCM)</t>
  </si>
  <si>
    <t>Dc_DCM_VIN_min</t>
  </si>
  <si>
    <t>IL_avg_DCM_VIN_min</t>
  </si>
  <si>
    <t>Dc_DCM_VIN_nom</t>
  </si>
  <si>
    <t>IL_avg_DCM_VIN_nom</t>
  </si>
  <si>
    <t>Dc_DCM_VIN_max</t>
  </si>
  <si>
    <t xml:space="preserve">Duty cycle at the mimum input voltage </t>
  </si>
  <si>
    <t>Duty cycle at the nominal input voltage</t>
  </si>
  <si>
    <t>Duty cycle at the maximum input voltage</t>
  </si>
  <si>
    <t>Dc_CCM_max_ideal</t>
  </si>
  <si>
    <t>Dc_CCM_VIN_min</t>
  </si>
  <si>
    <t>IL_avg_CCM_VIN_min</t>
  </si>
  <si>
    <t>Dc_CCM_VIN_nom</t>
  </si>
  <si>
    <t>IL_avg_CCM_VIN_nom</t>
  </si>
  <si>
    <t>Dc_CCM_VIN_max</t>
  </si>
  <si>
    <t>IL_avg_CCM_VIN_max</t>
  </si>
  <si>
    <t>Selected Mode for Calculation</t>
  </si>
  <si>
    <t>Possible Mode due to Load and L Selection</t>
  </si>
  <si>
    <t xml:space="preserve">Ideal Duty Cycle at VSUPPLY(MIN) </t>
  </si>
  <si>
    <t>CCM/DCM selected</t>
  </si>
  <si>
    <t>Rsl_max</t>
  </si>
  <si>
    <t>Maximum Value of Rsl (DS page 21)</t>
  </si>
  <si>
    <t>Operation Mode</t>
  </si>
  <si>
    <t>Version Number</t>
  </si>
  <si>
    <t>1.0.0</t>
  </si>
  <si>
    <t>Version History</t>
  </si>
  <si>
    <t>Version</t>
  </si>
  <si>
    <t>Change List Description</t>
  </si>
  <si>
    <t>Initial Release</t>
  </si>
  <si>
    <r>
      <t>Desired soft-start time at minimum input voltage (T</t>
    </r>
    <r>
      <rPr>
        <vertAlign val="subscript"/>
        <sz val="11"/>
        <color theme="1"/>
        <rFont val="Calibri"/>
        <family val="2"/>
        <scheme val="minor"/>
      </rPr>
      <t>SS</t>
    </r>
    <r>
      <rPr>
        <sz val="11"/>
        <color theme="1"/>
        <rFont val="Calibri"/>
        <family val="2"/>
        <scheme val="minor"/>
      </rPr>
      <t>)</t>
    </r>
  </si>
  <si>
    <r>
      <t>Select a bottom resistor based on calculated value(R</t>
    </r>
    <r>
      <rPr>
        <vertAlign val="subscript"/>
        <sz val="11"/>
        <color theme="1"/>
        <rFont val="Calibri"/>
        <family val="2"/>
        <scheme val="minor"/>
      </rPr>
      <t>FBB</t>
    </r>
    <r>
      <rPr>
        <sz val="11"/>
        <color theme="1"/>
        <rFont val="Calibri"/>
        <family val="2"/>
        <scheme val="minor"/>
      </rPr>
      <t>)</t>
    </r>
  </si>
  <si>
    <t>1.1.0</t>
  </si>
  <si>
    <t>Added DCM mode</t>
  </si>
  <si>
    <t>Sel_Cond_Mode</t>
  </si>
  <si>
    <t>ConductionMode</t>
  </si>
  <si>
    <t>Gain Cross</t>
  </si>
  <si>
    <t>Phase Cross</t>
  </si>
  <si>
    <t>XOVER SEARCH</t>
  </si>
  <si>
    <t>xover</t>
  </si>
  <si>
    <t>phase margin</t>
  </si>
  <si>
    <r>
      <t>Target Output Voltage, V</t>
    </r>
    <r>
      <rPr>
        <vertAlign val="subscript"/>
        <sz val="10"/>
        <color theme="1"/>
        <rFont val="Calibri"/>
        <family val="2"/>
        <scheme val="minor"/>
      </rPr>
      <t>LOAD</t>
    </r>
    <r>
      <rPr>
        <sz val="10"/>
        <color theme="1"/>
        <rFont val="Calibri"/>
        <family val="2"/>
        <scheme val="minor"/>
      </rPr>
      <t xml:space="preserve"> </t>
    </r>
  </si>
  <si>
    <r>
      <t>Desired Output ripple voltage (</t>
    </r>
    <r>
      <rPr>
        <sz val="11"/>
        <color theme="1"/>
        <rFont val="Calibri"/>
        <family val="2"/>
      </rPr>
      <t>Δv</t>
    </r>
    <r>
      <rPr>
        <vertAlign val="subscript"/>
        <sz val="11"/>
        <color theme="1"/>
        <rFont val="Calibri"/>
        <family val="2"/>
      </rPr>
      <t>OUT</t>
    </r>
    <r>
      <rPr>
        <sz val="11"/>
        <color theme="1"/>
        <rFont val="Calibri"/>
        <family val="2"/>
      </rPr>
      <t>)</t>
    </r>
  </si>
  <si>
    <r>
      <rPr>
        <sz val="11"/>
        <color theme="1"/>
        <rFont val="Calibri"/>
        <family val="2"/>
      </rPr>
      <t>μ</t>
    </r>
    <r>
      <rPr>
        <sz val="11"/>
        <color theme="1"/>
        <rFont val="Calibri"/>
        <family val="2"/>
        <scheme val="minor"/>
      </rPr>
      <t>H</t>
    </r>
  </si>
  <si>
    <r>
      <rPr>
        <sz val="11"/>
        <color theme="1"/>
        <rFont val="Calibri"/>
        <family val="2"/>
      </rPr>
      <t>μ</t>
    </r>
    <r>
      <rPr>
        <sz val="11"/>
        <color theme="1"/>
        <rFont val="Calibri"/>
        <family val="2"/>
        <scheme val="minor"/>
      </rPr>
      <t>F</t>
    </r>
  </si>
  <si>
    <t>wp_hf</t>
  </si>
  <si>
    <t>HF pole used for DCM</t>
  </si>
  <si>
    <t>Fn</t>
  </si>
  <si>
    <t>M</t>
  </si>
  <si>
    <t>Hd</t>
  </si>
  <si>
    <t>tauL</t>
  </si>
  <si>
    <t>Suggested maximum bandwidth</t>
  </si>
  <si>
    <r>
      <t>Selected bandwidth (F</t>
    </r>
    <r>
      <rPr>
        <vertAlign val="subscript"/>
        <sz val="11"/>
        <color theme="1"/>
        <rFont val="Calibri"/>
        <family val="2"/>
        <scheme val="minor"/>
      </rPr>
      <t>CO</t>
    </r>
    <r>
      <rPr>
        <sz val="11"/>
        <color theme="1"/>
        <rFont val="Calibri"/>
        <family val="2"/>
        <scheme val="minor"/>
      </rPr>
      <t>)</t>
    </r>
  </si>
  <si>
    <t>Mode</t>
  </si>
  <si>
    <t>Valid Lm</t>
  </si>
  <si>
    <t>L dcm/ccm</t>
  </si>
  <si>
    <t>min</t>
  </si>
  <si>
    <t>max</t>
  </si>
  <si>
    <t>min10%</t>
  </si>
  <si>
    <t>max10%</t>
  </si>
  <si>
    <t>V in min</t>
  </si>
  <si>
    <t>V in nom</t>
  </si>
  <si>
    <t>DC CCM &lt; DCM</t>
  </si>
  <si>
    <t>CCM/DCM</t>
  </si>
  <si>
    <t>Dc_Mode_Loop_Loop</t>
  </si>
  <si>
    <t>Duty Cycle mode for Loop Comenstation</t>
  </si>
  <si>
    <t>CCM only</t>
  </si>
  <si>
    <t>DCM only</t>
  </si>
  <si>
    <t>ModeCheck</t>
  </si>
  <si>
    <t>Lcalc_VIN_max</t>
  </si>
  <si>
    <t>Lcalc_VIN_nom</t>
  </si>
  <si>
    <t>Inductor at Nominal input voltage</t>
  </si>
  <si>
    <t>Inductor at Maximum input voltage</t>
  </si>
  <si>
    <t>V in max</t>
  </si>
  <si>
    <t>Strategy DCM</t>
  </si>
  <si>
    <t>L_DCM</t>
  </si>
  <si>
    <t>1.1.1</t>
  </si>
  <si>
    <t>Fixed reporting of wrong phase Margin</t>
  </si>
  <si>
    <t>Rev 1.1.1</t>
  </si>
  <si>
    <t>August-2021</t>
  </si>
  <si>
    <t>LM5155/56 DC/DC BOOST Controller Design Tool</t>
  </si>
  <si>
    <t>VIN_op_max_56</t>
  </si>
  <si>
    <t>Maximum BIAS pin operating voltage LM5156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</si>
</sst>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000E+00"/>
    <numFmt numFmtId="169" formatCode="0.0"/>
    <numFmt numFmtId="170" formatCode="0.0E+00"/>
  </numFmts>
  <fonts count="44"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u/>
      <sz val="11"/>
      <color theme="10"/>
      <name val="Calibri"/>
      <family val="2"/>
      <scheme val="minor"/>
    </font>
    <font>
      <sz val="11"/>
      <color theme="1"/>
      <name val="Arial"/>
      <family val="2"/>
    </font>
    <font>
      <b/>
      <sz val="10"/>
      <color theme="1"/>
      <name val="Arial"/>
      <family val="2"/>
    </font>
    <font>
      <sz val="10"/>
      <color theme="1"/>
      <name val="Arial"/>
      <family val="2"/>
    </font>
    <font>
      <b/>
      <u/>
      <sz val="10"/>
      <color theme="10"/>
      <name val="Arial"/>
      <family val="2"/>
    </font>
    <font>
      <b/>
      <sz val="10"/>
      <color theme="0"/>
      <name val="Arial"/>
      <family val="2"/>
    </font>
    <font>
      <b/>
      <u/>
      <sz val="11"/>
      <color theme="10"/>
      <name val="Arial"/>
      <family val="2"/>
    </font>
    <font>
      <b/>
      <sz val="8"/>
      <color indexed="81"/>
      <name val="Tahoma"/>
      <family val="2"/>
    </font>
    <font>
      <b/>
      <sz val="9"/>
      <color indexed="52"/>
      <name val="Tahoma"/>
      <family val="2"/>
    </font>
  </fonts>
  <fills count="20">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
      <patternFill patternType="solid">
        <fgColor rgb="FFDE0000"/>
        <bgColor indexed="64"/>
      </patternFill>
    </fill>
    <fill>
      <patternFill patternType="solid">
        <fgColor indexed="44"/>
        <bgColor indexed="64"/>
      </patternFill>
    </fill>
  </fills>
  <borders count="29">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0" fontId="35" fillId="0" borderId="0" applyNumberFormat="0" applyFill="0" applyBorder="0" applyAlignment="0" applyProtection="0"/>
  </cellStyleXfs>
  <cellXfs count="251">
    <xf numFmtId="0" fontId="0" fillId="0" borderId="0" xfId="0"/>
    <xf numFmtId="0" fontId="0" fillId="9" borderId="0" xfId="0" applyFill="1"/>
    <xf numFmtId="0" fontId="16"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5" fillId="0" borderId="0" xfId="0" applyFont="1"/>
    <xf numFmtId="165" fontId="0" fillId="0" borderId="0" xfId="0" applyNumberFormat="1"/>
    <xf numFmtId="11" fontId="14" fillId="10" borderId="0" xfId="0" applyNumberFormat="1" applyFont="1" applyFill="1"/>
    <xf numFmtId="0" fontId="17" fillId="0" borderId="0" xfId="0" applyFont="1"/>
    <xf numFmtId="2" fontId="0" fillId="0" borderId="0" xfId="0" applyNumberFormat="1"/>
    <xf numFmtId="168" fontId="0" fillId="9" borderId="0" xfId="0" applyNumberFormat="1" applyFill="1"/>
    <xf numFmtId="11" fontId="0" fillId="9" borderId="0" xfId="0" applyNumberFormat="1" applyFill="1"/>
    <xf numFmtId="0" fontId="5" fillId="0" borderId="0" xfId="3" applyFont="1" applyAlignment="1">
      <alignment horizontal="left"/>
    </xf>
    <xf numFmtId="167" fontId="0" fillId="9" borderId="0" xfId="0" applyNumberFormat="1" applyFill="1"/>
    <xf numFmtId="0" fontId="14" fillId="10" borderId="0" xfId="0" applyFont="1" applyFill="1"/>
    <xf numFmtId="0" fontId="19" fillId="0" borderId="0" xfId="0" applyFont="1"/>
    <xf numFmtId="0" fontId="21" fillId="0" borderId="0" xfId="0" applyFont="1"/>
    <xf numFmtId="0" fontId="0" fillId="12" borderId="0" xfId="0" applyFill="1"/>
    <xf numFmtId="1" fontId="0" fillId="0" borderId="0" xfId="0" applyNumberFormat="1"/>
    <xf numFmtId="0" fontId="22" fillId="0" borderId="0" xfId="0" applyFont="1"/>
    <xf numFmtId="0" fontId="23" fillId="0" borderId="0" xfId="0" applyFont="1"/>
    <xf numFmtId="169" fontId="0" fillId="0" borderId="0" xfId="0" applyNumberFormat="1"/>
    <xf numFmtId="170" fontId="0" fillId="0" borderId="0" xfId="0" applyNumberFormat="1"/>
    <xf numFmtId="0" fontId="0" fillId="0" borderId="13" xfId="0" applyBorder="1"/>
    <xf numFmtId="0" fontId="0" fillId="14"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4" borderId="13" xfId="0" applyFill="1" applyBorder="1"/>
    <xf numFmtId="0" fontId="0" fillId="0" borderId="19" xfId="0" applyBorder="1"/>
    <xf numFmtId="0" fontId="0" fillId="14"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4"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4" fillId="8" borderId="0" xfId="0" applyFont="1" applyFill="1" applyProtection="1">
      <protection hidden="1"/>
    </xf>
    <xf numFmtId="0" fontId="0" fillId="15"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4"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15"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2"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2" fillId="16" borderId="0" xfId="3" applyFont="1" applyFill="1" applyAlignment="1" applyProtection="1">
      <alignment horizontal="right"/>
      <protection hidden="1"/>
    </xf>
    <xf numFmtId="0" fontId="0" fillId="16" borderId="6" xfId="0" applyFill="1" applyBorder="1" applyProtection="1">
      <protection hidden="1"/>
    </xf>
    <xf numFmtId="0" fontId="12" fillId="16" borderId="5" xfId="0" applyFont="1" applyFill="1" applyBorder="1" applyProtection="1">
      <protection hidden="1"/>
    </xf>
    <xf numFmtId="0" fontId="12" fillId="16" borderId="0" xfId="0" applyFont="1" applyFill="1" applyProtection="1">
      <protection hidden="1"/>
    </xf>
    <xf numFmtId="0" fontId="12" fillId="16" borderId="0" xfId="0" applyFont="1" applyFill="1" applyAlignment="1" applyProtection="1">
      <alignment horizontal="right"/>
      <protection hidden="1"/>
    </xf>
    <xf numFmtId="0" fontId="12" fillId="16" borderId="7" xfId="0" applyFont="1" applyFill="1" applyBorder="1" applyProtection="1">
      <protection hidden="1"/>
    </xf>
    <xf numFmtId="0" fontId="12" fillId="16" borderId="8" xfId="0" applyFont="1" applyFill="1" applyBorder="1" applyProtection="1">
      <protection hidden="1"/>
    </xf>
    <xf numFmtId="0" fontId="0" fillId="16" borderId="8" xfId="0" applyFill="1" applyBorder="1" applyProtection="1">
      <protection hidden="1"/>
    </xf>
    <xf numFmtId="0" fontId="12" fillId="16" borderId="8" xfId="0" applyFont="1" applyFill="1" applyBorder="1" applyAlignment="1" applyProtection="1">
      <alignment horizontal="right"/>
      <protection hidden="1"/>
    </xf>
    <xf numFmtId="0" fontId="0" fillId="16" borderId="9" xfId="0" applyFill="1" applyBorder="1" applyProtection="1">
      <protection hidden="1"/>
    </xf>
    <xf numFmtId="0" fontId="12" fillId="16" borderId="2" xfId="0" applyFont="1" applyFill="1" applyBorder="1" applyProtection="1">
      <protection hidden="1"/>
    </xf>
    <xf numFmtId="0" fontId="12" fillId="16" borderId="3" xfId="0" applyFont="1" applyFill="1" applyBorder="1" applyProtection="1">
      <protection hidden="1"/>
    </xf>
    <xf numFmtId="0" fontId="0" fillId="16" borderId="7" xfId="0" applyFill="1" applyBorder="1" applyProtection="1">
      <protection hidden="1"/>
    </xf>
    <xf numFmtId="0" fontId="12" fillId="16" borderId="8" xfId="3" applyFont="1" applyFill="1" applyBorder="1" applyAlignment="1" applyProtection="1">
      <alignment horizontal="right"/>
      <protection hidden="1"/>
    </xf>
    <xf numFmtId="0" fontId="16" fillId="16" borderId="6" xfId="0" applyFont="1" applyFill="1" applyBorder="1" applyProtection="1">
      <protection hidden="1"/>
    </xf>
    <xf numFmtId="0" fontId="0" fillId="16" borderId="8" xfId="0" applyFill="1" applyBorder="1" applyAlignment="1" applyProtection="1">
      <alignment horizontal="right"/>
      <protection hidden="1"/>
    </xf>
    <xf numFmtId="0" fontId="16" fillId="16" borderId="9" xfId="0" applyFont="1" applyFill="1" applyBorder="1" applyProtection="1">
      <protection hidden="1"/>
    </xf>
    <xf numFmtId="0" fontId="0" fillId="16" borderId="3" xfId="0" applyFill="1" applyBorder="1" applyAlignment="1" applyProtection="1">
      <alignment horizontal="right"/>
      <protection hidden="1"/>
    </xf>
    <xf numFmtId="0" fontId="15" fillId="16" borderId="2" xfId="0" applyFont="1" applyFill="1" applyBorder="1" applyProtection="1">
      <protection hidden="1"/>
    </xf>
    <xf numFmtId="0" fontId="14" fillId="16" borderId="3" xfId="0" applyFont="1" applyFill="1" applyBorder="1" applyAlignment="1" applyProtection="1">
      <alignment horizontal="right"/>
      <protection hidden="1"/>
    </xf>
    <xf numFmtId="0" fontId="15" fillId="16" borderId="5" xfId="0" applyFont="1" applyFill="1" applyBorder="1" applyProtection="1">
      <protection hidden="1"/>
    </xf>
    <xf numFmtId="0" fontId="22" fillId="16" borderId="0" xfId="0" applyFont="1" applyFill="1" applyAlignment="1" applyProtection="1">
      <alignment horizontal="right"/>
      <protection hidden="1"/>
    </xf>
    <xf numFmtId="0" fontId="0" fillId="0" borderId="0" xfId="0" applyProtection="1">
      <protection hidden="1"/>
    </xf>
    <xf numFmtId="0" fontId="0" fillId="16" borderId="0" xfId="0" applyFill="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27"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30" fillId="16" borderId="0" xfId="0" applyFont="1" applyFill="1" applyAlignment="1" applyProtection="1">
      <alignment horizontal="left"/>
      <protection hidden="1"/>
    </xf>
    <xf numFmtId="0" fontId="4" fillId="16" borderId="3" xfId="3" applyFill="1" applyBorder="1" applyAlignment="1" applyProtection="1">
      <alignment horizontal="right"/>
      <protection hidden="1"/>
    </xf>
    <xf numFmtId="0" fontId="4" fillId="16" borderId="4" xfId="3" applyFill="1" applyBorder="1" applyProtection="1">
      <protection hidden="1"/>
    </xf>
    <xf numFmtId="0" fontId="4" fillId="16" borderId="0" xfId="3" applyFill="1" applyAlignment="1" applyProtection="1">
      <alignment horizontal="right"/>
      <protection hidden="1"/>
    </xf>
    <xf numFmtId="0" fontId="4" fillId="16" borderId="6" xfId="3" applyFill="1" applyBorder="1" applyProtection="1">
      <protection hidden="1"/>
    </xf>
    <xf numFmtId="0" fontId="4" fillId="16" borderId="8" xfId="3" applyFill="1" applyBorder="1" applyAlignment="1" applyProtection="1">
      <alignment horizontal="right"/>
      <protection hidden="1"/>
    </xf>
    <xf numFmtId="0" fontId="4" fillId="16" borderId="9" xfId="3" applyFill="1" applyBorder="1" applyProtection="1">
      <protection hidden="1"/>
    </xf>
    <xf numFmtId="0" fontId="0" fillId="15" borderId="0" xfId="0" applyFill="1" applyAlignment="1" applyProtection="1">
      <alignment horizontal="right"/>
      <protection hidden="1"/>
    </xf>
    <xf numFmtId="0" fontId="14" fillId="15" borderId="0" xfId="0" applyFont="1" applyFill="1" applyProtection="1">
      <protection hidden="1"/>
    </xf>
    <xf numFmtId="0" fontId="34"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6"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48" fontId="0" fillId="0" borderId="0" xfId="0" applyNumberFormat="1"/>
    <xf numFmtId="0" fontId="0" fillId="7" borderId="26" xfId="0" applyFill="1" applyBorder="1" applyAlignment="1" applyProtection="1">
      <alignment horizontal="right"/>
      <protection locked="0" hidden="1"/>
    </xf>
    <xf numFmtId="0" fontId="3" fillId="3" borderId="0" xfId="3" applyFont="1" applyFill="1" applyAlignment="1">
      <alignment horizontal="right"/>
    </xf>
    <xf numFmtId="2" fontId="0" fillId="9" borderId="0" xfId="0" applyNumberFormat="1" applyFill="1" applyAlignment="1">
      <alignment horizontal="right"/>
    </xf>
    <xf numFmtId="169" fontId="0" fillId="16" borderId="10" xfId="0" applyNumberFormat="1" applyFill="1" applyBorder="1" applyProtection="1">
      <protection hidden="1"/>
    </xf>
    <xf numFmtId="1" fontId="0" fillId="16" borderId="26" xfId="0" applyNumberFormat="1" applyFill="1" applyBorder="1" applyProtection="1">
      <protection hidden="1"/>
    </xf>
    <xf numFmtId="4" fontId="0" fillId="16" borderId="25" xfId="0" applyNumberFormat="1" applyFill="1" applyBorder="1" applyProtection="1">
      <protection hidden="1"/>
    </xf>
    <xf numFmtId="0" fontId="36" fillId="0" borderId="0" xfId="0" applyFont="1"/>
    <xf numFmtId="0" fontId="37" fillId="0" borderId="0" xfId="0" applyFont="1" applyAlignment="1">
      <alignment horizontal="center"/>
    </xf>
    <xf numFmtId="0" fontId="37" fillId="0" borderId="0" xfId="0" applyFont="1" applyAlignment="1">
      <alignment horizontal="left"/>
    </xf>
    <xf numFmtId="0" fontId="38" fillId="0" borderId="0" xfId="0" applyFont="1"/>
    <xf numFmtId="0" fontId="39" fillId="0" borderId="0" xfId="8" applyFont="1" applyFill="1" applyBorder="1" applyAlignment="1">
      <alignment vertical="center"/>
    </xf>
    <xf numFmtId="0" fontId="39" fillId="0" borderId="0" xfId="8" applyFont="1" applyFill="1" applyBorder="1" applyAlignment="1">
      <alignment horizontal="right" vertical="center"/>
    </xf>
    <xf numFmtId="0" fontId="36" fillId="0" borderId="0" xfId="0" applyFont="1" applyAlignment="1">
      <alignment horizontal="center"/>
    </xf>
    <xf numFmtId="0" fontId="36" fillId="0" borderId="0" xfId="0" applyFont="1" applyAlignment="1">
      <alignment horizontal="left"/>
    </xf>
    <xf numFmtId="0" fontId="38" fillId="0" borderId="0" xfId="0" applyFont="1" applyAlignment="1">
      <alignment horizontal="center"/>
    </xf>
    <xf numFmtId="0" fontId="3" fillId="0" borderId="0" xfId="0" applyFont="1"/>
    <xf numFmtId="0" fontId="40" fillId="17" borderId="0" xfId="0" applyFont="1" applyFill="1" applyAlignment="1">
      <alignment horizontal="center"/>
    </xf>
    <xf numFmtId="0" fontId="41" fillId="0" borderId="0" xfId="8" applyFont="1" applyFill="1" applyBorder="1" applyAlignment="1">
      <alignment vertical="center"/>
    </xf>
    <xf numFmtId="49" fontId="38" fillId="0" borderId="0" xfId="0" applyNumberFormat="1" applyFont="1" applyAlignment="1">
      <alignment horizontal="center"/>
    </xf>
    <xf numFmtId="49" fontId="37" fillId="0" borderId="0" xfId="0" applyNumberFormat="1" applyFont="1" applyAlignment="1">
      <alignment horizontal="left"/>
    </xf>
    <xf numFmtId="0" fontId="5" fillId="0" borderId="0" xfId="3" applyFont="1" applyAlignment="1" applyProtection="1">
      <alignment horizontal="center"/>
      <protection hidden="1"/>
    </xf>
    <xf numFmtId="0" fontId="5" fillId="3" borderId="0" xfId="3" applyFont="1" applyFill="1" applyAlignment="1" applyProtection="1">
      <alignment horizontal="center"/>
      <protection hidden="1"/>
    </xf>
    <xf numFmtId="0" fontId="4" fillId="0" borderId="0" xfId="3" applyProtection="1">
      <protection hidden="1"/>
    </xf>
    <xf numFmtId="0" fontId="5" fillId="4" borderId="0" xfId="3" applyFont="1" applyFill="1" applyAlignment="1" applyProtection="1">
      <alignment horizontal="center"/>
      <protection hidden="1"/>
    </xf>
    <xf numFmtId="0" fontId="5" fillId="0" borderId="0" xfId="3" applyFont="1" applyAlignment="1" applyProtection="1">
      <alignment horizontal="right"/>
      <protection hidden="1"/>
    </xf>
    <xf numFmtId="0" fontId="4" fillId="0" borderId="0" xfId="3" applyAlignment="1" applyProtection="1">
      <alignment horizontal="center"/>
      <protection hidden="1"/>
    </xf>
    <xf numFmtId="0" fontId="5" fillId="0" borderId="0" xfId="3" applyFont="1" applyAlignment="1" applyProtection="1">
      <alignment horizontal="left"/>
      <protection hidden="1"/>
    </xf>
    <xf numFmtId="0" fontId="5" fillId="5" borderId="0" xfId="3" applyFont="1" applyFill="1" applyAlignment="1" applyProtection="1">
      <alignment horizontal="center"/>
      <protection hidden="1"/>
    </xf>
    <xf numFmtId="0" fontId="0" fillId="0" borderId="10" xfId="0" applyBorder="1" applyProtection="1">
      <protection hidden="1"/>
    </xf>
    <xf numFmtId="0" fontId="0" fillId="0" borderId="12" xfId="0" applyBorder="1" applyProtection="1">
      <protection hidden="1"/>
    </xf>
    <xf numFmtId="0" fontId="0" fillId="0" borderId="5" xfId="0" applyBorder="1" applyProtection="1">
      <protection hidden="1"/>
    </xf>
    <xf numFmtId="0" fontId="0" fillId="0" borderId="6" xfId="0" applyBorder="1" applyProtection="1">
      <protection hidden="1"/>
    </xf>
    <xf numFmtId="0" fontId="5" fillId="0" borderId="0" xfId="3" applyFont="1" applyProtection="1">
      <protection hidden="1"/>
    </xf>
    <xf numFmtId="0" fontId="4" fillId="0" borderId="5" xfId="3" applyBorder="1" applyProtection="1">
      <protection hidden="1"/>
    </xf>
    <xf numFmtId="0" fontId="4" fillId="0" borderId="6" xfId="3" applyBorder="1" applyProtection="1">
      <protection hidden="1"/>
    </xf>
    <xf numFmtId="165" fontId="4" fillId="0" borderId="11" xfId="3" applyNumberFormat="1" applyBorder="1" applyProtection="1">
      <protection hidden="1"/>
    </xf>
    <xf numFmtId="0" fontId="4" fillId="0" borderId="11" xfId="3" applyBorder="1" applyProtection="1">
      <protection hidden="1"/>
    </xf>
    <xf numFmtId="0" fontId="0" fillId="0" borderId="11" xfId="0" applyBorder="1" applyProtection="1">
      <protection hidden="1"/>
    </xf>
    <xf numFmtId="0" fontId="4" fillId="0" borderId="10" xfId="3" applyBorder="1" applyProtection="1">
      <protection hidden="1"/>
    </xf>
    <xf numFmtId="165" fontId="0" fillId="0" borderId="11" xfId="0" applyNumberFormat="1" applyBorder="1" applyProtection="1">
      <protection hidden="1"/>
    </xf>
    <xf numFmtId="0" fontId="26" fillId="0" borderId="0" xfId="3" applyFont="1" applyProtection="1">
      <protection hidden="1"/>
    </xf>
    <xf numFmtId="0" fontId="0" fillId="0" borderId="2" xfId="0" applyBorder="1" applyProtection="1">
      <protection hidden="1"/>
    </xf>
    <xf numFmtId="1" fontId="0" fillId="0" borderId="4" xfId="0" applyNumberFormat="1" applyBorder="1" applyProtection="1">
      <protection hidden="1"/>
    </xf>
    <xf numFmtId="165" fontId="4" fillId="0" borderId="3" xfId="3" applyNumberFormat="1" applyBorder="1" applyProtection="1">
      <protection hidden="1"/>
    </xf>
    <xf numFmtId="0" fontId="4" fillId="0" borderId="3" xfId="3" applyBorder="1" applyProtection="1">
      <protection hidden="1"/>
    </xf>
    <xf numFmtId="0" fontId="0" fillId="0" borderId="3" xfId="0" applyBorder="1" applyProtection="1">
      <protection hidden="1"/>
    </xf>
    <xf numFmtId="0" fontId="4" fillId="0" borderId="2" xfId="3" applyBorder="1" applyProtection="1">
      <protection hidden="1"/>
    </xf>
    <xf numFmtId="165" fontId="0" fillId="0" borderId="3" xfId="0" applyNumberFormat="1" applyBorder="1" applyProtection="1">
      <protection hidden="1"/>
    </xf>
    <xf numFmtId="0" fontId="0" fillId="0" borderId="4" xfId="0" applyBorder="1" applyProtection="1">
      <protection hidden="1"/>
    </xf>
    <xf numFmtId="0" fontId="0" fillId="10" borderId="0" xfId="0" applyFill="1" applyProtection="1">
      <protection hidden="1"/>
    </xf>
    <xf numFmtId="1" fontId="0" fillId="0" borderId="6" xfId="0" applyNumberFormat="1" applyBorder="1" applyProtection="1">
      <protection hidden="1"/>
    </xf>
    <xf numFmtId="165" fontId="4" fillId="0" borderId="0" xfId="3" applyNumberFormat="1" applyProtection="1">
      <protection hidden="1"/>
    </xf>
    <xf numFmtId="165" fontId="0" fillId="0" borderId="0" xfId="0" applyNumberFormat="1" applyProtection="1">
      <protection hidden="1"/>
    </xf>
    <xf numFmtId="0" fontId="0" fillId="0" borderId="7" xfId="0" applyBorder="1" applyProtection="1">
      <protection hidden="1"/>
    </xf>
    <xf numFmtId="1" fontId="0" fillId="0" borderId="9" xfId="0" applyNumberFormat="1" applyBorder="1" applyProtection="1">
      <protection hidden="1"/>
    </xf>
    <xf numFmtId="165" fontId="4" fillId="0" borderId="8" xfId="3" applyNumberFormat="1" applyBorder="1" applyProtection="1">
      <protection hidden="1"/>
    </xf>
    <xf numFmtId="0" fontId="4" fillId="0" borderId="8" xfId="3" applyBorder="1" applyProtection="1">
      <protection hidden="1"/>
    </xf>
    <xf numFmtId="0" fontId="0" fillId="0" borderId="8" xfId="0" applyBorder="1" applyProtection="1">
      <protection hidden="1"/>
    </xf>
    <xf numFmtId="0" fontId="4" fillId="0" borderId="7" xfId="3" applyBorder="1" applyProtection="1">
      <protection hidden="1"/>
    </xf>
    <xf numFmtId="165" fontId="0" fillId="0" borderId="8" xfId="0" applyNumberFormat="1" applyBorder="1" applyProtection="1">
      <protection hidden="1"/>
    </xf>
    <xf numFmtId="0" fontId="0" fillId="0" borderId="9" xfId="0" applyBorder="1" applyProtection="1">
      <protection hidden="1"/>
    </xf>
    <xf numFmtId="2" fontId="0" fillId="0" borderId="0" xfId="0" applyNumberFormat="1" applyProtection="1">
      <protection hidden="1"/>
    </xf>
    <xf numFmtId="0" fontId="25" fillId="0" borderId="0" xfId="0" applyFont="1" applyProtection="1">
      <protection hidden="1"/>
    </xf>
    <xf numFmtId="2" fontId="0" fillId="0" borderId="10" xfId="0" applyNumberFormat="1" applyBorder="1" applyProtection="1">
      <protection hidden="1"/>
    </xf>
    <xf numFmtId="2" fontId="0" fillId="0" borderId="5" xfId="0" applyNumberFormat="1" applyBorder="1" applyProtection="1">
      <protection hidden="1"/>
    </xf>
    <xf numFmtId="2" fontId="0" fillId="0" borderId="7" xfId="0" applyNumberFormat="1" applyBorder="1" applyProtection="1">
      <protection hidden="1"/>
    </xf>
    <xf numFmtId="0" fontId="4" fillId="0" borderId="9" xfId="3" applyBorder="1" applyProtection="1">
      <protection hidden="1"/>
    </xf>
    <xf numFmtId="0" fontId="0" fillId="12" borderId="0" xfId="0" applyFill="1" applyProtection="1">
      <protection hidden="1"/>
    </xf>
    <xf numFmtId="0" fontId="16" fillId="0" borderId="0" xfId="0" applyFont="1" applyProtection="1">
      <protection hidden="1"/>
    </xf>
    <xf numFmtId="0" fontId="0" fillId="11" borderId="0" xfId="0" applyFill="1" applyProtection="1">
      <protection hidden="1"/>
    </xf>
    <xf numFmtId="165" fontId="0" fillId="9" borderId="0" xfId="0" applyNumberFormat="1" applyFill="1" applyProtection="1">
      <protection hidden="1"/>
    </xf>
    <xf numFmtId="1" fontId="0" fillId="9" borderId="0" xfId="0" applyNumberFormat="1" applyFill="1" applyProtection="1">
      <protection hidden="1"/>
    </xf>
    <xf numFmtId="2" fontId="0" fillId="9" borderId="0" xfId="0" applyNumberFormat="1" applyFill="1" applyProtection="1">
      <protection hidden="1"/>
    </xf>
    <xf numFmtId="0" fontId="0" fillId="9" borderId="0" xfId="0" applyFill="1" applyProtection="1">
      <protection hidden="1"/>
    </xf>
    <xf numFmtId="0" fontId="24" fillId="0" borderId="0" xfId="0" applyFont="1" applyProtection="1">
      <protection hidden="1"/>
    </xf>
    <xf numFmtId="0" fontId="0" fillId="19" borderId="0" xfId="0" applyFill="1"/>
    <xf numFmtId="0" fontId="0" fillId="0" borderId="5" xfId="0" applyBorder="1"/>
    <xf numFmtId="0" fontId="5" fillId="0" borderId="0" xfId="0" applyFont="1"/>
    <xf numFmtId="2" fontId="3" fillId="0" borderId="0" xfId="0" quotePrefix="1" applyNumberFormat="1" applyFont="1"/>
    <xf numFmtId="0" fontId="0" fillId="0" borderId="0" xfId="0" applyAlignment="1">
      <alignment horizontal="left"/>
    </xf>
    <xf numFmtId="0" fontId="5" fillId="0" borderId="0" xfId="0" applyFont="1" applyAlignment="1">
      <alignment horizontal="left"/>
    </xf>
    <xf numFmtId="165" fontId="0" fillId="0" borderId="26" xfId="0" applyNumberFormat="1" applyBorder="1" applyAlignment="1" applyProtection="1">
      <alignment horizontal="right"/>
      <protection hidden="1"/>
    </xf>
    <xf numFmtId="169" fontId="0" fillId="16" borderId="25" xfId="0" applyNumberFormat="1" applyFill="1" applyBorder="1" applyProtection="1">
      <protection hidden="1"/>
    </xf>
    <xf numFmtId="0" fontId="0" fillId="0" borderId="27" xfId="0" applyBorder="1"/>
    <xf numFmtId="0" fontId="0" fillId="0" borderId="28" xfId="0" applyBorder="1"/>
    <xf numFmtId="0" fontId="0" fillId="0" borderId="24" xfId="0" applyBorder="1"/>
    <xf numFmtId="0" fontId="4" fillId="0" borderId="25" xfId="3" applyBorder="1"/>
    <xf numFmtId="2" fontId="4" fillId="0" borderId="25" xfId="3" applyNumberFormat="1" applyBorder="1" applyAlignment="1">
      <alignment horizontal="center"/>
    </xf>
    <xf numFmtId="0" fontId="38" fillId="0" borderId="0" xfId="0" applyFont="1" applyAlignment="1">
      <alignment wrapText="1"/>
    </xf>
    <xf numFmtId="48" fontId="0" fillId="9" borderId="0" xfId="0" applyNumberFormat="1" applyFill="1"/>
    <xf numFmtId="0" fontId="35" fillId="8" borderId="0" xfId="8" applyFill="1" applyBorder="1" applyAlignment="1" applyProtection="1">
      <alignment horizontal="center"/>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5" xfId="0" applyBorder="1" applyAlignment="1" applyProtection="1">
      <alignment horizontal="center"/>
      <protection hidden="1"/>
    </xf>
    <xf numFmtId="0" fontId="0" fillId="0" borderId="0" xfId="0" applyAlignment="1" applyProtection="1">
      <alignment horizontal="center"/>
      <protection hidden="1"/>
    </xf>
    <xf numFmtId="0" fontId="0" fillId="0" borderId="6" xfId="0" applyBorder="1" applyAlignment="1" applyProtection="1">
      <alignment horizontal="center"/>
      <protection hidden="1"/>
    </xf>
    <xf numFmtId="0" fontId="22" fillId="0" borderId="10" xfId="0" applyFont="1" applyBorder="1" applyAlignment="1" applyProtection="1">
      <alignment horizontal="center"/>
      <protection hidden="1"/>
    </xf>
    <xf numFmtId="0" fontId="22" fillId="0" borderId="11" xfId="0" applyFont="1" applyBorder="1" applyAlignment="1" applyProtection="1">
      <alignment horizontal="center"/>
      <protection hidden="1"/>
    </xf>
    <xf numFmtId="0" fontId="22" fillId="0" borderId="12" xfId="0" applyFont="1" applyBorder="1" applyAlignment="1" applyProtection="1">
      <alignment horizontal="center"/>
      <protection hidden="1"/>
    </xf>
    <xf numFmtId="0" fontId="4" fillId="0" borderId="0" xfId="3" applyAlignment="1" applyProtection="1">
      <alignment horizontal="center"/>
      <protection hidden="1"/>
    </xf>
    <xf numFmtId="0" fontId="6" fillId="2" borderId="0" xfId="3" applyFont="1" applyFill="1" applyAlignment="1" applyProtection="1">
      <alignment horizontal="center"/>
      <protection hidden="1"/>
    </xf>
    <xf numFmtId="0" fontId="5" fillId="0" borderId="0" xfId="3" applyFont="1" applyAlignment="1" applyProtection="1">
      <alignment horizontal="center"/>
      <protection hidden="1"/>
    </xf>
    <xf numFmtId="0" fontId="36" fillId="0" borderId="0" xfId="0" applyFont="1" applyAlignment="1">
      <alignment horizontal="center"/>
    </xf>
    <xf numFmtId="0" fontId="36" fillId="18" borderId="0" xfId="0" applyFont="1" applyFill="1" applyAlignment="1">
      <alignment horizontal="center"/>
    </xf>
    <xf numFmtId="0" fontId="40" fillId="17" borderId="0" xfId="0" applyFont="1" applyFill="1" applyAlignment="1">
      <alignment horizontal="left"/>
    </xf>
    <xf numFmtId="0" fontId="38" fillId="0" borderId="0" xfId="0" applyFont="1" applyAlignment="1">
      <alignment horizontal="left"/>
    </xf>
    <xf numFmtId="0" fontId="38" fillId="0" borderId="0" xfId="0" applyFont="1" applyAlignment="1">
      <alignment wrapText="1"/>
    </xf>
  </cellXfs>
  <cellStyles count="9">
    <cellStyle name="Comma 2" xfId="5" xr:uid="{00000000-0005-0000-0000-000000000000}"/>
    <cellStyle name="Comma 3" xfId="2" xr:uid="{00000000-0005-0000-0000-000001000000}"/>
    <cellStyle name="Link" xfId="8" builtinId="8"/>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 name="Standard" xfId="0" builtinId="0"/>
  </cellStyles>
  <dxfs count="11">
    <dxf>
      <fill>
        <patternFill>
          <bgColor rgb="FFFF0000"/>
        </patternFill>
      </fill>
    </dxf>
    <dxf>
      <fill>
        <patternFill>
          <bgColor rgb="FFFF0000"/>
        </patternFill>
      </fill>
    </dxf>
    <dxf>
      <font>
        <color rgb="FFC00000"/>
      </font>
      <fill>
        <patternFill>
          <bgColor theme="5" tint="0.59996337778862885"/>
        </patternFill>
      </fill>
    </dxf>
    <dxf>
      <font>
        <color rgb="FF9C0006"/>
      </font>
      <fill>
        <patternFill>
          <bgColor rgb="FFFFC7CE"/>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0000"/>
        </patternFill>
      </fill>
    </dxf>
  </dxfs>
  <tableStyles count="0" defaultTableStyle="TableStyleMedium2" defaultPivotStyle="PivotStyleLight16"/>
  <colors>
    <mruColors>
      <color rgb="FF9C0006"/>
      <color rgb="FFFFC7CE"/>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96.854716055045046</c:v>
                </c:pt>
                <c:pt idx="1">
                  <c:v>96.654049978070319</c:v>
                </c:pt>
                <c:pt idx="2">
                  <c:v>96.453352620770559</c:v>
                </c:pt>
                <c:pt idx="3">
                  <c:v>96.252622519610767</c:v>
                </c:pt>
                <c:pt idx="4">
                  <c:v>96.051858143104823</c:v>
                </c:pt>
                <c:pt idx="5">
                  <c:v>95.85105788871067</c:v>
                </c:pt>
                <c:pt idx="6">
                  <c:v>95.650220079587953</c:v>
                </c:pt>
                <c:pt idx="7">
                  <c:v>95.449342961214896</c:v>
                </c:pt>
                <c:pt idx="8">
                  <c:v>95.24842469785527</c:v>
                </c:pt>
                <c:pt idx="9">
                  <c:v>95.047463368870893</c:v>
                </c:pt>
                <c:pt idx="10">
                  <c:v>94.846456964875671</c:v>
                </c:pt>
                <c:pt idx="11">
                  <c:v>94.645403383720804</c:v>
                </c:pt>
                <c:pt idx="12">
                  <c:v>94.444300426307592</c:v>
                </c:pt>
                <c:pt idx="13">
                  <c:v>94.243145792221128</c:v>
                </c:pt>
                <c:pt idx="14">
                  <c:v>94.041937075175923</c:v>
                </c:pt>
                <c:pt idx="15">
                  <c:v>93.840671758269025</c:v>
                </c:pt>
                <c:pt idx="16">
                  <c:v>93.639347209032039</c:v>
                </c:pt>
                <c:pt idx="17">
                  <c:v>93.437960674273498</c:v>
                </c:pt>
                <c:pt idx="18">
                  <c:v>93.236509274708496</c:v>
                </c:pt>
                <c:pt idx="19">
                  <c:v>93.03498999936204</c:v>
                </c:pt>
                <c:pt idx="20">
                  <c:v>92.833399699743197</c:v>
                </c:pt>
                <c:pt idx="21">
                  <c:v>92.631735083779304</c:v>
                </c:pt>
                <c:pt idx="22">
                  <c:v>92.429992709504219</c:v>
                </c:pt>
                <c:pt idx="23">
                  <c:v>92.228168978491055</c:v>
                </c:pt>
                <c:pt idx="24">
                  <c:v>92.026260129021736</c:v>
                </c:pt>
                <c:pt idx="25">
                  <c:v>91.824262228986584</c:v>
                </c:pt>
                <c:pt idx="26">
                  <c:v>91.622171168502732</c:v>
                </c:pt>
                <c:pt idx="27">
                  <c:v>91.419982652247086</c:v>
                </c:pt>
                <c:pt idx="28">
                  <c:v>91.217692191493001</c:v>
                </c:pt>
                <c:pt idx="29">
                  <c:v>91.015295095843896</c:v>
                </c:pt>
                <c:pt idx="30">
                  <c:v>90.812786464656071</c:v>
                </c:pt>
                <c:pt idx="31">
                  <c:v>90.610161178141823</c:v>
                </c:pt>
                <c:pt idx="32">
                  <c:v>90.40741388814881</c:v>
                </c:pt>
                <c:pt idx="33">
                  <c:v>90.204539008604911</c:v>
                </c:pt>
                <c:pt idx="34">
                  <c:v>90.001530705623694</c:v>
                </c:pt>
                <c:pt idx="35">
                  <c:v>89.798382887266342</c:v>
                </c:pt>
                <c:pt idx="36">
                  <c:v>89.595089192949331</c:v>
                </c:pt>
                <c:pt idx="37">
                  <c:v>89.391642982499548</c:v>
                </c:pt>
                <c:pt idx="38">
                  <c:v>89.188037324847116</c:v>
                </c:pt>
                <c:pt idx="39">
                  <c:v>88.984264986355939</c:v>
                </c:pt>
                <c:pt idx="40">
                  <c:v>88.780318418787786</c:v>
                </c:pt>
                <c:pt idx="41">
                  <c:v>88.57618974690071</c:v>
                </c:pt>
                <c:pt idx="42">
                  <c:v>88.371870755679055</c:v>
                </c:pt>
                <c:pt idx="43">
                  <c:v>88.167352877199662</c:v>
                </c:pt>
                <c:pt idx="44">
                  <c:v>87.962627177134266</c:v>
                </c:pt>
                <c:pt idx="45">
                  <c:v>87.757684340895011</c:v>
                </c:pt>
                <c:pt idx="46">
                  <c:v>87.552514659428795</c:v>
                </c:pt>
                <c:pt idx="47">
                  <c:v>87.347108014669033</c:v>
                </c:pt>
                <c:pt idx="48">
                  <c:v>87.141453864656441</c:v>
                </c:pt>
                <c:pt idx="49">
                  <c:v>86.93554122834189</c:v>
                </c:pt>
                <c:pt idx="50">
                  <c:v>86.729358670089013</c:v>
                </c:pt>
                <c:pt idx="51">
                  <c:v>86.522894283894246</c:v>
                </c:pt>
                <c:pt idx="52">
                  <c:v>86.316135677349052</c:v>
                </c:pt>
                <c:pt idx="53">
                  <c:v>86.109069955368639</c:v>
                </c:pt>
                <c:pt idx="54">
                  <c:v>85.901683703720948</c:v>
                </c:pt>
                <c:pt idx="55">
                  <c:v>85.693962972386117</c:v>
                </c:pt>
                <c:pt idx="56">
                  <c:v>85.485893258789147</c:v>
                </c:pt>
                <c:pt idx="57">
                  <c:v>85.277459490948132</c:v>
                </c:pt>
                <c:pt idx="58">
                  <c:v>85.068646010586662</c:v>
                </c:pt>
                <c:pt idx="59">
                  <c:v>84.859436556267397</c:v>
                </c:pt>
                <c:pt idx="60">
                  <c:v>84.64981424660445</c:v>
                </c:pt>
                <c:pt idx="61">
                  <c:v>84.439761563623193</c:v>
                </c:pt>
                <c:pt idx="62">
                  <c:v>84.229260336340673</c:v>
                </c:pt>
                <c:pt idx="63">
                  <c:v>84.018291724645678</c:v>
                </c:pt>
                <c:pt idx="64">
                  <c:v>83.806836203567784</c:v>
                </c:pt>
                <c:pt idx="65">
                  <c:v>83.59487354802755</c:v>
                </c:pt>
                <c:pt idx="66">
                  <c:v>83.382382818174094</c:v>
                </c:pt>
                <c:pt idx="67">
                  <c:v>83.169342345415799</c:v>
                </c:pt>
                <c:pt idx="68">
                  <c:v>82.955729719268987</c:v>
                </c:pt>
                <c:pt idx="69">
                  <c:v>82.741521775145884</c:v>
                </c:pt>
                <c:pt idx="70">
                  <c:v>82.526694583221968</c:v>
                </c:pt>
                <c:pt idx="71">
                  <c:v>82.311223438524365</c:v>
                </c:pt>
                <c:pt idx="72">
                  <c:v>82.09508285239437</c:v>
                </c:pt>
                <c:pt idx="73">
                  <c:v>81.878246545485609</c:v>
                </c:pt>
                <c:pt idx="74">
                  <c:v>81.660687442466582</c:v>
                </c:pt>
                <c:pt idx="75">
                  <c:v>81.442377668603285</c:v>
                </c:pt>
                <c:pt idx="76">
                  <c:v>81.223288548406529</c:v>
                </c:pt>
                <c:pt idx="77">
                  <c:v>81.003390606535191</c:v>
                </c:pt>
                <c:pt idx="78">
                  <c:v>80.782653571149936</c:v>
                </c:pt>
                <c:pt idx="79">
                  <c:v>80.561046379919617</c:v>
                </c:pt>
                <c:pt idx="80">
                  <c:v>80.338537188885255</c:v>
                </c:pt>
                <c:pt idx="81">
                  <c:v>80.115093384388956</c:v>
                </c:pt>
                <c:pt idx="82">
                  <c:v>79.890681598276089</c:v>
                </c:pt>
                <c:pt idx="83">
                  <c:v>79.665267726577596</c:v>
                </c:pt>
                <c:pt idx="84">
                  <c:v>79.438816951878778</c:v>
                </c:pt>
                <c:pt idx="85">
                  <c:v>79.211293769573913</c:v>
                </c:pt>
                <c:pt idx="86">
                  <c:v>78.982662018198354</c:v>
                </c:pt>
                <c:pt idx="87">
                  <c:v>78.752884914024747</c:v>
                </c:pt>
                <c:pt idx="88">
                  <c:v>78.521925090090178</c:v>
                </c:pt>
                <c:pt idx="89">
                  <c:v>78.289744639811943</c:v>
                </c:pt>
                <c:pt idx="90">
                  <c:v>78.056305165328951</c:v>
                </c:pt>
                <c:pt idx="91">
                  <c:v>77.821567830681602</c:v>
                </c:pt>
                <c:pt idx="92">
                  <c:v>77.585493419923367</c:v>
                </c:pt>
                <c:pt idx="93">
                  <c:v>77.348042400222212</c:v>
                </c:pt>
                <c:pt idx="94">
                  <c:v>77.109174989983472</c:v>
                </c:pt>
                <c:pt idx="95">
                  <c:v>76.868851231988245</c:v>
                </c:pt>
                <c:pt idx="96">
                  <c:v>76.627031071501335</c:v>
                </c:pt>
                <c:pt idx="97">
                  <c:v>76.383674439264809</c:v>
                </c:pt>
                <c:pt idx="98">
                  <c:v>76.138741339243722</c:v>
                </c:pt>
                <c:pt idx="99">
                  <c:v>75.892191940948436</c:v>
                </c:pt>
                <c:pt idx="100">
                  <c:v>75.64398667610422</c:v>
                </c:pt>
                <c:pt idx="101">
                  <c:v>75.394086339389773</c:v>
                </c:pt>
                <c:pt idx="102">
                  <c:v>75.142452192914277</c:v>
                </c:pt>
                <c:pt idx="103">
                  <c:v>74.889046074047741</c:v>
                </c:pt>
                <c:pt idx="104">
                  <c:v>74.633830506169673</c:v>
                </c:pt>
                <c:pt idx="105">
                  <c:v>74.376768811845267</c:v>
                </c:pt>
                <c:pt idx="106">
                  <c:v>74.11782522789224</c:v>
                </c:pt>
                <c:pt idx="107">
                  <c:v>73.856965021752018</c:v>
                </c:pt>
                <c:pt idx="108">
                  <c:v>73.594154608533586</c:v>
                </c:pt>
                <c:pt idx="109">
                  <c:v>73.329361668062603</c:v>
                </c:pt>
                <c:pt idx="110">
                  <c:v>73.062555261230372</c:v>
                </c:pt>
                <c:pt idx="111">
                  <c:v>72.793705944911437</c:v>
                </c:pt>
                <c:pt idx="112">
                  <c:v>72.522785884696518</c:v>
                </c:pt>
                <c:pt idx="113">
                  <c:v>72.249768964674814</c:v>
                </c:pt>
                <c:pt idx="114">
                  <c:v>71.97463089349489</c:v>
                </c:pt>
                <c:pt idx="115">
                  <c:v>71.697349305936285</c:v>
                </c:pt>
                <c:pt idx="116">
                  <c:v>71.417903859238535</c:v>
                </c:pt>
                <c:pt idx="117">
                  <c:v>71.136276323457537</c:v>
                </c:pt>
                <c:pt idx="118">
                  <c:v>70.852450665148936</c:v>
                </c:pt>
                <c:pt idx="119">
                  <c:v>70.566413123725056</c:v>
                </c:pt>
                <c:pt idx="120">
                  <c:v>70.278152279876792</c:v>
                </c:pt>
                <c:pt idx="121">
                  <c:v>69.987659115517587</c:v>
                </c:pt>
                <c:pt idx="122">
                  <c:v>69.694927064771193</c:v>
                </c:pt>
                <c:pt idx="123">
                  <c:v>69.399952055599471</c:v>
                </c:pt>
                <c:pt idx="124">
                  <c:v>69.102732541749873</c:v>
                </c:pt>
                <c:pt idx="125">
                  <c:v>68.803269524786415</c:v>
                </c:pt>
                <c:pt idx="126">
                  <c:v>68.501566566057534</c:v>
                </c:pt>
                <c:pt idx="127">
                  <c:v>68.197629788548028</c:v>
                </c:pt>
                <c:pt idx="128">
                  <c:v>67.891467868654232</c:v>
                </c:pt>
                <c:pt idx="129">
                  <c:v>67.583092018011854</c:v>
                </c:pt>
                <c:pt idx="130">
                  <c:v>67.272515955602046</c:v>
                </c:pt>
                <c:pt idx="131">
                  <c:v>66.959755870441825</c:v>
                </c:pt>
                <c:pt idx="132">
                  <c:v>66.644830375253449</c:v>
                </c:pt>
                <c:pt idx="133">
                  <c:v>66.32776045158073</c:v>
                </c:pt>
                <c:pt idx="134">
                  <c:v>66.008569386891025</c:v>
                </c:pt>
                <c:pt idx="135">
                  <c:v>65.687282704265428</c:v>
                </c:pt>
                <c:pt idx="136">
                  <c:v>65.36392808533131</c:v>
                </c:pt>
                <c:pt idx="137">
                  <c:v>65.038535287138188</c:v>
                </c:pt>
                <c:pt idx="138">
                  <c:v>64.711136053710987</c:v>
                </c:pt>
                <c:pt idx="139">
                  <c:v>64.381764023043047</c:v>
                </c:pt>
                <c:pt idx="140">
                  <c:v>64.050454630304372</c:v>
                </c:pt>
                <c:pt idx="141">
                  <c:v>63.717245008049815</c:v>
                </c:pt>
                <c:pt idx="142">
                  <c:v>63.382173884208051</c:v>
                </c:pt>
                <c:pt idx="143">
                  <c:v>63.045281478620048</c:v>
                </c:pt>
                <c:pt idx="144">
                  <c:v>62.706609398880069</c:v>
                </c:pt>
                <c:pt idx="145">
                  <c:v>62.366200536200722</c:v>
                </c:pt>
                <c:pt idx="146">
                  <c:v>62.024098961994689</c:v>
                </c:pt>
                <c:pt idx="147">
                  <c:v>61.680349825824841</c:v>
                </c:pt>
                <c:pt idx="148">
                  <c:v>61.334999255331596</c:v>
                </c:pt>
                <c:pt idx="149">
                  <c:v>60.988094258698531</c:v>
                </c:pt>
                <c:pt idx="150">
                  <c:v>60.639682630165922</c:v>
                </c:pt>
                <c:pt idx="151">
                  <c:v>60.289812859052333</c:v>
                </c:pt>
                <c:pt idx="152">
                  <c:v>59.938534042685902</c:v>
                </c:pt>
                <c:pt idx="153">
                  <c:v>59.585895803594767</c:v>
                </c:pt>
                <c:pt idx="154">
                  <c:v>59.231948211254078</c:v>
                </c:pt>
                <c:pt idx="155">
                  <c:v>58.876741708626994</c:v>
                </c:pt>
                <c:pt idx="156">
                  <c:v>58.520327043692141</c:v>
                </c:pt>
                <c:pt idx="157">
                  <c:v>58.162755206093891</c:v>
                </c:pt>
                <c:pt idx="158">
                  <c:v>57.804077369007132</c:v>
                </c:pt>
                <c:pt idx="159">
                  <c:v>57.444344836261862</c:v>
                </c:pt>
                <c:pt idx="160">
                  <c:v>57.083608994728138</c:v>
                </c:pt>
                <c:pt idx="161">
                  <c:v>56.721921271925908</c:v>
                </c:pt>
                <c:pt idx="162">
                  <c:v>56.359333098784326</c:v>
                </c:pt>
                <c:pt idx="163">
                  <c:v>55.995895877442841</c:v>
                </c:pt>
                <c:pt idx="164">
                  <c:v>55.631660953957088</c:v>
                </c:pt>
                <c:pt idx="165">
                  <c:v>55.266679595742509</c:v>
                </c:pt>
                <c:pt idx="166">
                  <c:v>54.901002973567365</c:v>
                </c:pt>
                <c:pt idx="167">
                  <c:v>54.53468214788316</c:v>
                </c:pt>
                <c:pt idx="168">
                  <c:v>54.167768059262052</c:v>
                </c:pt>
                <c:pt idx="169">
                  <c:v>53.800311522694955</c:v>
                </c:pt>
                <c:pt idx="170">
                  <c:v>53.432363225489453</c:v>
                </c:pt>
                <c:pt idx="171">
                  <c:v>53.063973728494716</c:v>
                </c:pt>
                <c:pt idx="172">
                  <c:v>52.695193470369965</c:v>
                </c:pt>
                <c:pt idx="173">
                  <c:v>52.326072774606196</c:v>
                </c:pt>
                <c:pt idx="174">
                  <c:v>51.956661859000761</c:v>
                </c:pt>
                <c:pt idx="175">
                  <c:v>51.58701084728299</c:v>
                </c:pt>
                <c:pt idx="176">
                  <c:v>51.217169782579219</c:v>
                </c:pt>
                <c:pt idx="177">
                  <c:v>50.847188642407545</c:v>
                </c:pt>
                <c:pt idx="178">
                  <c:v>50.477117354885252</c:v>
                </c:pt>
                <c:pt idx="179">
                  <c:v>50.107005815831997</c:v>
                </c:pt>
                <c:pt idx="180">
                  <c:v>49.73690390644996</c:v>
                </c:pt>
                <c:pt idx="181">
                  <c:v>49.366861511261973</c:v>
                </c:pt>
                <c:pt idx="182">
                  <c:v>48.996928535986527</c:v>
                </c:pt>
                <c:pt idx="183">
                  <c:v>48.6271549250297</c:v>
                </c:pt>
                <c:pt idx="184">
                  <c:v>48.257590678275768</c:v>
                </c:pt>
                <c:pt idx="185">
                  <c:v>47.888285866856819</c:v>
                </c:pt>
                <c:pt idx="186">
                  <c:v>47.519290647585315</c:v>
                </c:pt>
                <c:pt idx="187">
                  <c:v>47.150655275735801</c:v>
                </c:pt>
                <c:pt idx="188">
                  <c:v>46.78243011586369</c:v>
                </c:pt>
                <c:pt idx="189">
                  <c:v>46.414665650354834</c:v>
                </c:pt>
                <c:pt idx="190">
                  <c:v>46.047412485403058</c:v>
                </c:pt>
                <c:pt idx="191">
                  <c:v>45.680721354119896</c:v>
                </c:pt>
                <c:pt idx="192">
                  <c:v>45.314643116488838</c:v>
                </c:pt>
                <c:pt idx="193">
                  <c:v>44.949228755883183</c:v>
                </c:pt>
                <c:pt idx="194">
                  <c:v>44.584529371881146</c:v>
                </c:pt>
                <c:pt idx="195">
                  <c:v>44.220596169120924</c:v>
                </c:pt>
                <c:pt idx="196">
                  <c:v>43.857480441956227</c:v>
                </c:pt>
                <c:pt idx="197">
                  <c:v>43.495233554688532</c:v>
                </c:pt>
                <c:pt idx="198">
                  <c:v>43.133906917173135</c:v>
                </c:pt>
                <c:pt idx="199">
                  <c:v>42.773551955617968</c:v>
                </c:pt>
                <c:pt idx="200">
                  <c:v>42.414220078419653</c:v>
                </c:pt>
                <c:pt idx="201">
                  <c:v>42.055962636911701</c:v>
                </c:pt>
                <c:pt idx="202">
                  <c:v>41.698830880928064</c:v>
                </c:pt>
                <c:pt idx="203">
                  <c:v>41.342875909122441</c:v>
                </c:pt>
                <c:pt idx="204">
                  <c:v>40.988148614021043</c:v>
                </c:pt>
                <c:pt idx="205">
                  <c:v>40.634699621827643</c:v>
                </c:pt>
                <c:pt idx="206">
                  <c:v>40.282579227041644</c:v>
                </c:pt>
                <c:pt idx="207">
                  <c:v>39.931837322000852</c:v>
                </c:pt>
                <c:pt idx="208">
                  <c:v>39.582523321503871</c:v>
                </c:pt>
                <c:pt idx="209">
                  <c:v>39.234686082723925</c:v>
                </c:pt>
                <c:pt idx="210">
                  <c:v>38.888373820673706</c:v>
                </c:pt>
                <c:pt idx="211">
                  <c:v>38.543634019540221</c:v>
                </c:pt>
                <c:pt idx="212">
                  <c:v>38.200513340256336</c:v>
                </c:pt>
                <c:pt idx="213">
                  <c:v>37.85905752473721</c:v>
                </c:pt>
                <c:pt idx="214">
                  <c:v>37.51931129725876</c:v>
                </c:pt>
                <c:pt idx="215">
                  <c:v>37.181318263508281</c:v>
                </c:pt>
                <c:pt idx="216">
                  <c:v>36.84512080788825</c:v>
                </c:pt>
                <c:pt idx="217">
                  <c:v>36.510759989698599</c:v>
                </c:pt>
                <c:pt idx="218">
                  <c:v>36.178275438864922</c:v>
                </c:pt>
                <c:pt idx="219">
                  <c:v>35.847705251919137</c:v>
                </c:pt>
                <c:pt idx="220">
                  <c:v>35.519085888964781</c:v>
                </c:pt>
                <c:pt idx="221">
                  <c:v>35.192452072388612</c:v>
                </c:pt>
                <c:pt idx="222">
                  <c:v>34.86783668809197</c:v>
                </c:pt>
                <c:pt idx="223">
                  <c:v>34.545270690025994</c:v>
                </c:pt>
                <c:pt idx="224">
                  <c:v>34.224783008810881</c:v>
                </c:pt>
                <c:pt idx="225">
                  <c:v>33.906400465214112</c:v>
                </c:pt>
                <c:pt idx="226">
                  <c:v>33.590147689235572</c:v>
                </c:pt>
                <c:pt idx="227">
                  <c:v>33.276047045525196</c:v>
                </c:pt>
                <c:pt idx="228">
                  <c:v>32.964118565816634</c:v>
                </c:pt>
                <c:pt idx="229">
                  <c:v>32.654379889008446</c:v>
                </c:pt>
                <c:pt idx="230">
                  <c:v>32.346846209476453</c:v>
                </c:pt>
                <c:pt idx="231">
                  <c:v>32.041530234123591</c:v>
                </c:pt>
                <c:pt idx="232">
                  <c:v>31.738442148613885</c:v>
                </c:pt>
                <c:pt idx="233">
                  <c:v>31.437589593143699</c:v>
                </c:pt>
                <c:pt idx="234">
                  <c:v>31.138977648031631</c:v>
                </c:pt>
                <c:pt idx="235">
                  <c:v>30.842608829311335</c:v>
                </c:pt>
                <c:pt idx="236">
                  <c:v>30.548483094423041</c:v>
                </c:pt>
                <c:pt idx="237">
                  <c:v>30.256597858007513</c:v>
                </c:pt>
                <c:pt idx="238">
                  <c:v>29.966948017710337</c:v>
                </c:pt>
                <c:pt idx="239">
                  <c:v>29.679525989817858</c:v>
                </c:pt>
                <c:pt idx="240">
                  <c:v>29.394321754451621</c:v>
                </c:pt>
                <c:pt idx="241">
                  <c:v>29.111322909969083</c:v>
                </c:pt>
                <c:pt idx="242">
                  <c:v>28.830514736138401</c:v>
                </c:pt>
                <c:pt idx="243">
                  <c:v>28.55188026557996</c:v>
                </c:pt>
                <c:pt idx="244">
                  <c:v>28.275400362905106</c:v>
                </c:pt>
                <c:pt idx="245">
                  <c:v>28.00105381092753</c:v>
                </c:pt>
                <c:pt idx="246">
                  <c:v>27.728817403270089</c:v>
                </c:pt>
                <c:pt idx="247">
                  <c:v>27.458666042657924</c:v>
                </c:pt>
                <c:pt idx="248">
                  <c:v>27.19057284415296</c:v>
                </c:pt>
                <c:pt idx="249">
                  <c:v>26.924509242572853</c:v>
                </c:pt>
                <c:pt idx="250">
                  <c:v>26.660445103321901</c:v>
                </c:pt>
                <c:pt idx="251">
                  <c:v>26.398348835864329</c:v>
                </c:pt>
                <c:pt idx="252">
                  <c:v>26.138187509078193</c:v>
                </c:pt>
                <c:pt idx="253">
                  <c:v>25.879926967740779</c:v>
                </c:pt>
                <c:pt idx="254">
                  <c:v>25.623531949428163</c:v>
                </c:pt>
                <c:pt idx="255">
                  <c:v>25.368966201132711</c:v>
                </c:pt>
                <c:pt idx="256">
                  <c:v>25.116192594946316</c:v>
                </c:pt>
                <c:pt idx="257">
                  <c:v>24.865173242192597</c:v>
                </c:pt>
                <c:pt idx="258">
                  <c:v>24.615869605442949</c:v>
                </c:pt>
                <c:pt idx="259">
                  <c:v>24.368242607893428</c:v>
                </c:pt>
                <c:pt idx="260">
                  <c:v>24.122252739634419</c:v>
                </c:pt>
                <c:pt idx="261">
                  <c:v>23.877860160397326</c:v>
                </c:pt>
                <c:pt idx="262">
                  <c:v>23.635024798411667</c:v>
                </c:pt>
                <c:pt idx="263">
                  <c:v>23.393706445064378</c:v>
                </c:pt>
                <c:pt idx="264">
                  <c:v>23.153864845099342</c:v>
                </c:pt>
                <c:pt idx="265">
                  <c:v>22.915459782150201</c:v>
                </c:pt>
                <c:pt idx="266">
                  <c:v>22.678451159444815</c:v>
                </c:pt>
                <c:pt idx="267">
                  <c:v>22.442799075568374</c:v>
                </c:pt>
                <c:pt idx="268">
                  <c:v>22.208463895214567</c:v>
                </c:pt>
                <c:pt idx="269">
                  <c:v>21.975406314894496</c:v>
                </c:pt>
                <c:pt idx="270">
                  <c:v>21.743587423611466</c:v>
                </c:pt>
                <c:pt idx="271">
                  <c:v>21.512968758541653</c:v>
                </c:pt>
                <c:pt idx="272">
                  <c:v>21.283512355794564</c:v>
                </c:pt>
                <c:pt idx="273">
                  <c:v>21.055180796350704</c:v>
                </c:pt>
                <c:pt idx="274">
                  <c:v>20.827937247300206</c:v>
                </c:pt>
                <c:pt idx="275">
                  <c:v>20.601745498525446</c:v>
                </c:pt>
                <c:pt idx="276">
                  <c:v>20.37656999498757</c:v>
                </c:pt>
                <c:pt idx="277">
                  <c:v>20.152375864793271</c:v>
                </c:pt>
                <c:pt idx="278">
                  <c:v>19.929128943225464</c:v>
                </c:pt>
                <c:pt idx="279">
                  <c:v>19.70679579293494</c:v>
                </c:pt>
                <c:pt idx="280">
                  <c:v>19.485343720492249</c:v>
                </c:pt>
                <c:pt idx="281">
                  <c:v>19.264740789504813</c:v>
                </c:pt>
                <c:pt idx="282">
                  <c:v>19.044955830506996</c:v>
                </c:pt>
                <c:pt idx="283">
                  <c:v>18.825958447827624</c:v>
                </c:pt>
                <c:pt idx="284">
                  <c:v>18.607719023641852</c:v>
                </c:pt>
                <c:pt idx="285">
                  <c:v>18.390208719408513</c:v>
                </c:pt>
                <c:pt idx="286">
                  <c:v>18.173399474890264</c:v>
                </c:pt>
                <c:pt idx="287">
                  <c:v>17.957264004948946</c:v>
                </c:pt>
                <c:pt idx="288">
                  <c:v>17.741775794302534</c:v>
                </c:pt>
                <c:pt idx="289">
                  <c:v>17.526909090422716</c:v>
                </c:pt>
                <c:pt idx="290">
                  <c:v>17.312638894744179</c:v>
                </c:pt>
                <c:pt idx="291">
                  <c:v>17.098940952349352</c:v>
                </c:pt>
                <c:pt idx="292">
                  <c:v>16.885791740284965</c:v>
                </c:pt>
                <c:pt idx="293">
                  <c:v>16.673168454656299</c:v>
                </c:pt>
                <c:pt idx="294">
                  <c:v>16.461048996637594</c:v>
                </c:pt>
                <c:pt idx="295">
                  <c:v>16.249411957529393</c:v>
                </c:pt>
                <c:pt idx="296">
                  <c:v>16.038236602983314</c:v>
                </c:pt>
                <c:pt idx="297">
                  <c:v>15.827502856507312</c:v>
                </c:pt>
                <c:pt idx="298">
                  <c:v>15.61719128235627</c:v>
                </c:pt>
                <c:pt idx="299">
                  <c:v>15.407283067905047</c:v>
                </c:pt>
                <c:pt idx="300">
                  <c:v>15.197760005591569</c:v>
                </c:pt>
                <c:pt idx="301">
                  <c:v>14.988604474513711</c:v>
                </c:pt>
                <c:pt idx="302">
                  <c:v>14.779799421751502</c:v>
                </c:pt>
                <c:pt idx="303">
                  <c:v>14.571328343484879</c:v>
                </c:pt>
                <c:pt idx="304">
                  <c:v>14.363175265965646</c:v>
                </c:pt>
                <c:pt idx="305">
                  <c:v>14.155324726400417</c:v>
                </c:pt>
                <c:pt idx="306">
                  <c:v>13.947761753791335</c:v>
                </c:pt>
                <c:pt idx="307">
                  <c:v>13.740471849780691</c:v>
                </c:pt>
                <c:pt idx="308">
                  <c:v>13.533440969534809</c:v>
                </c:pt>
                <c:pt idx="309">
                  <c:v>13.326655502703954</c:v>
                </c:pt>
                <c:pt idx="310">
                  <c:v>13.120102254483774</c:v>
                </c:pt>
                <c:pt idx="311">
                  <c:v>12.91376842680714</c:v>
                </c:pt>
                <c:pt idx="312">
                  <c:v>12.707641599683123</c:v>
                </c:pt>
                <c:pt idx="313">
                  <c:v>12.501709712704528</c:v>
                </c:pt>
                <c:pt idx="314">
                  <c:v>12.295961046735551</c:v>
                </c:pt>
                <c:pt idx="315">
                  <c:v>12.090384205791743</c:v>
                </c:pt>
                <c:pt idx="316">
                  <c:v>11.884968099121194</c:v>
                </c:pt>
                <c:pt idx="317">
                  <c:v>11.679701923491187</c:v>
                </c:pt>
                <c:pt idx="318">
                  <c:v>11.474575145686927</c:v>
                </c:pt>
                <c:pt idx="319">
                  <c:v>11.269577485220887</c:v>
                </c:pt>
                <c:pt idx="320">
                  <c:v>11.064698897255056</c:v>
                </c:pt>
                <c:pt idx="321">
                  <c:v>10.859929555732942</c:v>
                </c:pt>
                <c:pt idx="322">
                  <c:v>10.655259836719468</c:v>
                </c:pt>
                <c:pt idx="323">
                  <c:v>10.450680301943311</c:v>
                </c:pt>
                <c:pt idx="324">
                  <c:v>10.246181682536461</c:v>
                </c:pt>
                <c:pt idx="325">
                  <c:v>10.041754862965806</c:v>
                </c:pt>
                <c:pt idx="326">
                  <c:v>9.8373908651488726</c:v>
                </c:pt>
                <c:pt idx="327">
                  <c:v>9.63308083274514</c:v>
                </c:pt>
                <c:pt idx="328">
                  <c:v>9.4288160156190877</c:v>
                </c:pt>
                <c:pt idx="329">
                  <c:v>9.2245877544601846</c:v>
                </c:pt>
                <c:pt idx="330">
                  <c:v>9.0203874655596277</c:v>
                </c:pt>
                <c:pt idx="331">
                  <c:v>8.8162066257273626</c:v>
                </c:pt>
                <c:pt idx="332">
                  <c:v>8.6120367573483101</c:v>
                </c:pt>
                <c:pt idx="333">
                  <c:v>8.4078694135653897</c:v>
                </c:pt>
                <c:pt idx="334">
                  <c:v>8.2036961635844659</c:v>
                </c:pt>
                <c:pt idx="335">
                  <c:v>7.9995085780939927</c:v>
                </c:pt>
                <c:pt idx="336">
                  <c:v>7.7952982147929228</c:v>
                </c:pt>
                <c:pt idx="337">
                  <c:v>7.5910566040218228</c:v>
                </c:pt>
                <c:pt idx="338">
                  <c:v>7.3867752344946203</c:v>
                </c:pt>
                <c:pt idx="339">
                  <c:v>7.182445539126169</c:v>
                </c:pt>
                <c:pt idx="340">
                  <c:v>6.9780588809557837</c:v>
                </c:pt>
                <c:pt idx="341">
                  <c:v>6.7736065391654678</c:v>
                </c:pt>
                <c:pt idx="342">
                  <c:v>6.5690796951964874</c:v>
                </c:pt>
                <c:pt idx="343">
                  <c:v>6.3644694189654096</c:v>
                </c:pt>
                <c:pt idx="344">
                  <c:v>6.1597666551875454</c:v>
                </c:pt>
                <c:pt idx="345">
                  <c:v>5.9549622098147568</c:v>
                </c:pt>
                <c:pt idx="346">
                  <c:v>5.750046736597958</c:v>
                </c:pt>
                <c:pt idx="347">
                  <c:v>5.5450107237876924</c:v>
                </c:pt>
                <c:pt idx="348">
                  <c:v>5.3398444809892389</c:v>
                </c:pt>
                <c:pt idx="349">
                  <c:v>5.1345381261897005</c:v>
                </c:pt>
                <c:pt idx="350">
                  <c:v>4.9290815729822413</c:v>
                </c:pt>
                <c:pt idx="351">
                  <c:v>4.7234645180113262</c:v>
                </c:pt>
                <c:pt idx="352">
                  <c:v>4.5176764286694233</c:v>
                </c:pt>
                <c:pt idx="353">
                  <c:v>4.3117065310797056</c:v>
                </c:pt>
                <c:pt idx="354">
                  <c:v>4.1055437984041019</c:v>
                </c:pt>
                <c:pt idx="355">
                  <c:v>3.8991769395177354</c:v>
                </c:pt>
                <c:pt idx="356">
                  <c:v>3.692594388099331</c:v>
                </c:pt>
                <c:pt idx="357">
                  <c:v>3.4857842921911431</c:v>
                </c:pt>
                <c:pt idx="358">
                  <c:v>3.2787345042856049</c:v>
                </c:pt>
                <c:pt idx="359">
                  <c:v>3.0714325720063531</c:v>
                </c:pt>
                <c:pt idx="360">
                  <c:v>2.8638657294497021</c:v>
                </c:pt>
                <c:pt idx="361">
                  <c:v>2.6560208892678761</c:v>
                </c:pt>
                <c:pt idx="362">
                  <c:v>2.4478846355740465</c:v>
                </c:pt>
                <c:pt idx="363">
                  <c:v>2.2394432177604422</c:v>
                </c:pt>
                <c:pt idx="364">
                  <c:v>2.0306825453263326</c:v>
                </c:pt>
                <c:pt idx="365">
                  <c:v>1.8215881838185597</c:v>
                </c:pt>
                <c:pt idx="366">
                  <c:v>1.6121453519955196</c:v>
                </c:pt>
                <c:pt idx="367">
                  <c:v>1.4023389203335499</c:v>
                </c:pt>
                <c:pt idx="368">
                  <c:v>1.1921534109972434</c:v>
                </c:pt>
                <c:pt idx="369">
                  <c:v>0.98157299940813947</c:v>
                </c:pt>
                <c:pt idx="370">
                  <c:v>0.77058151754816018</c:v>
                </c:pt>
                <c:pt idx="371">
                  <c:v>0.55916245914250984</c:v>
                </c:pt>
                <c:pt idx="372">
                  <c:v>0.34729898687116356</c:v>
                </c:pt>
                <c:pt idx="373">
                  <c:v>0.13497394176758692</c:v>
                </c:pt>
                <c:pt idx="374">
                  <c:v>-7.7830145039750359E-2</c:v>
                </c:pt>
                <c:pt idx="375">
                  <c:v>-0.29113103807428714</c:v>
                </c:pt>
                <c:pt idx="376">
                  <c:v>-0.50494678058335229</c:v>
                </c:pt>
                <c:pt idx="377">
                  <c:v>-0.71929567476397627</c:v>
                </c:pt>
                <c:pt idx="378">
                  <c:v>-0.9341962589756645</c:v>
                </c:pt>
                <c:pt idx="379">
                  <c:v>-1.1496672817702955</c:v>
                </c:pt>
                <c:pt idx="380">
                  <c:v>-1.365727672576369</c:v>
                </c:pt>
                <c:pt idx="381">
                  <c:v>-1.5823965088747884</c:v>
                </c:pt>
                <c:pt idx="382">
                  <c:v>-1.7996929797167669</c:v>
                </c:pt>
                <c:pt idx="383">
                  <c:v>-2.0176363454370629</c:v>
                </c:pt>
                <c:pt idx="384">
                  <c:v>-2.2362458934337064</c:v>
                </c:pt>
                <c:pt idx="385">
                  <c:v>-2.4555408898959876</c:v>
                </c:pt>
                <c:pt idx="386">
                  <c:v>-2.6755405273834021</c:v>
                </c:pt>
                <c:pt idx="387">
                  <c:v>-2.8962638681782726</c:v>
                </c:pt>
                <c:pt idx="388">
                  <c:v>-3.1177297833584099</c:v>
                </c:pt>
                <c:pt idx="389">
                  <c:v>-3.339956887565918</c:v>
                </c:pt>
                <c:pt idx="390">
                  <c:v>-3.5629634694797701</c:v>
                </c:pt>
                <c:pt idx="391">
                  <c:v>-3.7867674180329116</c:v>
                </c:pt>
                <c:pt idx="392">
                  <c:v>-4.0113861444575614</c:v>
                </c:pt>
                <c:pt idx="393">
                  <c:v>-4.2368365002808739</c:v>
                </c:pt>
                <c:pt idx="394">
                  <c:v>-4.4631346914426677</c:v>
                </c:pt>
                <c:pt idx="395">
                  <c:v>-4.6902961887547798</c:v>
                </c:pt>
                <c:pt idx="396">
                  <c:v>-4.9183356349733804</c:v>
                </c:pt>
                <c:pt idx="397">
                  <c:v>-5.1472667488136814</c:v>
                </c:pt>
                <c:pt idx="398">
                  <c:v>-5.3771022262890913</c:v>
                </c:pt>
                <c:pt idx="399">
                  <c:v>-5.6078536398225598</c:v>
                </c:pt>
                <c:pt idx="400">
                  <c:v>-5.8395313356303591</c:v>
                </c:pt>
                <c:pt idx="401">
                  <c:v>-6.0721443299455462</c:v>
                </c:pt>
                <c:pt idx="402">
                  <c:v>-6.3057002047046691</c:v>
                </c:pt>
                <c:pt idx="403">
                  <c:v>-6.5402050033809704</c:v>
                </c:pt>
                <c:pt idx="404">
                  <c:v>-6.7756631277039716</c:v>
                </c:pt>
                <c:pt idx="405">
                  <c:v>-7.0120772360566921</c:v>
                </c:pt>
                <c:pt idx="406">
                  <c:v>-7.2494481443929502</c:v>
                </c:pt>
                <c:pt idx="407">
                  <c:v>-7.4877747305566578</c:v>
                </c:pt>
                <c:pt idx="408">
                  <c:v>-7.7270538429246773</c:v>
                </c:pt>
                <c:pt idx="409">
                  <c:v>-7.967280214320585</c:v>
                </c:pt>
                <c:pt idx="410">
                  <c:v>-8.208446382168809</c:v>
                </c:pt>
                <c:pt idx="411">
                  <c:v>-8.4505426158663361</c:v>
                </c:pt>
                <c:pt idx="412">
                  <c:v>-8.6935568523520832</c:v>
                </c:pt>
                <c:pt idx="413">
                  <c:v>-8.9374746408377277</c:v>
                </c:pt>
                <c:pt idx="414">
                  <c:v>-9.1822790976445088</c:v>
                </c:pt>
                <c:pt idx="415">
                  <c:v>-9.4279508720524703</c:v>
                </c:pt>
                <c:pt idx="416">
                  <c:v>-9.6744681240189649</c:v>
                </c:pt>
                <c:pt idx="417">
                  <c:v>-9.921806514565958</c:v>
                </c:pt>
                <c:pt idx="418">
                  <c:v>-10.169939209556977</c:v>
                </c:pt>
                <c:pt idx="419">
                  <c:v>-10.418836897506836</c:v>
                </c:pt>
                <c:pt idx="420">
                  <c:v>-10.668467821963297</c:v>
                </c:pt>
                <c:pt idx="421">
                  <c:v>-10.918797828900981</c:v>
                </c:pt>
                <c:pt idx="422">
                  <c:v>-11.169790429448128</c:v>
                </c:pt>
                <c:pt idx="423">
                  <c:v>-11.421406878148357</c:v>
                </c:pt>
                <c:pt idx="424">
                  <c:v>-11.673606266830124</c:v>
                </c:pt>
                <c:pt idx="425">
                  <c:v>-11.926345634024491</c:v>
                </c:pt>
                <c:pt idx="426">
                  <c:v>-12.179580089743968</c:v>
                </c:pt>
                <c:pt idx="427">
                  <c:v>-12.433262955295017</c:v>
                </c:pt>
                <c:pt idx="428">
                  <c:v>-12.687345917673429</c:v>
                </c:pt>
                <c:pt idx="429">
                  <c:v>-12.941779197965475</c:v>
                </c:pt>
                <c:pt idx="430">
                  <c:v>-13.196511733056969</c:v>
                </c:pt>
                <c:pt idx="431">
                  <c:v>-13.451491369850416</c:v>
                </c:pt>
                <c:pt idx="432">
                  <c:v>-13.706665071086093</c:v>
                </c:pt>
                <c:pt idx="433">
                  <c:v>-13.961979131790105</c:v>
                </c:pt>
                <c:pt idx="434">
                  <c:v>-14.217379405294306</c:v>
                </c:pt>
                <c:pt idx="435">
                  <c:v>-14.472811537731143</c:v>
                </c:pt>
                <c:pt idx="436">
                  <c:v>-14.728221209872011</c:v>
                </c:pt>
                <c:pt idx="437">
                  <c:v>-14.983554385162744</c:v>
                </c:pt>
                <c:pt idx="438">
                  <c:v>-15.238757562825453</c:v>
                </c:pt>
                <c:pt idx="439">
                  <c:v>-15.493778034917543</c:v>
                </c:pt>
                <c:pt idx="440">
                  <c:v>-15.748564146296339</c:v>
                </c:pt>
                <c:pt idx="441">
                  <c:v>-16.003065556505653</c:v>
                </c:pt>
                <c:pt idx="442">
                  <c:v>-16.257233502696202</c:v>
                </c:pt>
                <c:pt idx="443">
                  <c:v>-16.51102106280263</c:v>
                </c:pt>
                <c:pt idx="444">
                  <c:v>-16.764383418333729</c:v>
                </c:pt>
                <c:pt idx="445">
                  <c:v>-17.017278116280433</c:v>
                </c:pt>
                <c:pt idx="446">
                  <c:v>-17.269665329811854</c:v>
                </c:pt>
                <c:pt idx="447">
                  <c:v>-17.52150811760642</c:v>
                </c:pt>
                <c:pt idx="448">
                  <c:v>-17.772772681859252</c:v>
                </c:pt>
                <c:pt idx="449">
                  <c:v>-18.023428625202143</c:v>
                </c:pt>
                <c:pt idx="450">
                  <c:v>-18.273449206977194</c:v>
                </c:pt>
                <c:pt idx="451">
                  <c:v>-18.522811599515098</c:v>
                </c:pt>
                <c:pt idx="452">
                  <c:v>-18.771497145273393</c:v>
                </c:pt>
                <c:pt idx="453">
                  <c:v>-19.019491615892171</c:v>
                </c:pt>
                <c:pt idx="454">
                  <c:v>-19.266785474418278</c:v>
                </c:pt>
                <c:pt idx="455">
                  <c:v>-19.51337414212891</c:v>
                </c:pt>
                <c:pt idx="456">
                  <c:v>-19.75925827154747</c:v>
                </c:pt>
                <c:pt idx="457">
                  <c:v>-20.004444027383038</c:v>
                </c:pt>
                <c:pt idx="458">
                  <c:v>-20.248943377232042</c:v>
                </c:pt>
                <c:pt idx="459">
                  <c:v>-20.492774393954868</c:v>
                </c:pt>
                <c:pt idx="460">
                  <c:v>-20.73596157166871</c:v>
                </c:pt>
                <c:pt idx="461">
                  <c:v>-20.978536157269726</c:v>
                </c:pt>
                <c:pt idx="462">
                  <c:v>-21.220536499318609</c:v>
                </c:pt>
                <c:pt idx="463">
                  <c:v>-21.462008415956845</c:v>
                </c:pt>
                <c:pt idx="464">
                  <c:v>-21.703005583282476</c:v>
                </c:pt>
                <c:pt idx="465">
                  <c:v>-21.943589945268542</c:v>
                </c:pt>
                <c:pt idx="466">
                  <c:v>-22.183832145852023</c:v>
                </c:pt>
                <c:pt idx="467">
                  <c:v>-22.423811983235428</c:v>
                </c:pt>
                <c:pt idx="468">
                  <c:v>-22.663618885708004</c:v>
                </c:pt>
                <c:pt idx="469">
                  <c:v>-22.903352407396124</c:v>
                </c:pt>
                <c:pt idx="470">
                  <c:v>-23.143122741267064</c:v>
                </c:pt>
                <c:pt idx="471">
                  <c:v>-23.383051245425577</c:v>
                </c:pt>
                <c:pt idx="472">
                  <c:v>-23.62327097723427</c:v>
                </c:pt>
                <c:pt idx="473">
                  <c:v>-23.863927228056561</c:v>
                </c:pt>
                <c:pt idx="474">
                  <c:v>-24.105178049438699</c:v>
                </c:pt>
                <c:pt idx="475">
                  <c:v>-24.347194759333629</c:v>
                </c:pt>
                <c:pt idx="476">
                  <c:v>-24.590162414524769</c:v>
                </c:pt>
                <c:pt idx="477">
                  <c:v>-24.834280232760676</c:v>
                </c:pt>
                <c:pt idx="478">
                  <c:v>-25.07976194531043</c:v>
                </c:pt>
                <c:pt idx="479">
                  <c:v>-25.326836057762048</c:v>
                </c:pt>
                <c:pt idx="480">
                  <c:v>-25.575745994008415</c:v>
                </c:pt>
                <c:pt idx="481">
                  <c:v>-25.826750095633962</c:v>
                </c:pt>
                <c:pt idx="482">
                  <c:v>-26.080121446493333</c:v>
                </c:pt>
                <c:pt idx="483">
                  <c:v>-26.336147490369104</c:v>
                </c:pt>
                <c:pt idx="484">
                  <c:v>-26.595129408452163</c:v>
                </c:pt>
                <c:pt idx="485">
                  <c:v>-26.857381223281017</c:v>
                </c:pt>
                <c:pt idx="486">
                  <c:v>-27.123228597007866</c:v>
                </c:pt>
                <c:pt idx="487">
                  <c:v>-27.393007294726512</c:v>
                </c:pt>
                <c:pt idx="488">
                  <c:v>-27.667061288399353</c:v>
                </c:pt>
                <c:pt idx="489">
                  <c:v>-27.945740483894316</c:v>
                </c:pt>
                <c:pt idx="490">
                  <c:v>-28.229398062951674</c:v>
                </c:pt>
                <c:pt idx="491">
                  <c:v>-28.518387443578497</c:v>
                </c:pt>
                <c:pt idx="492">
                  <c:v>-28.813058876297561</c:v>
                </c:pt>
                <c:pt idx="493">
                  <c:v>-29.113755709514194</c:v>
                </c:pt>
                <c:pt idx="494">
                  <c:v>-29.420810374473682</c:v>
                </c:pt>
                <c:pt idx="495">
                  <c:v>-29.734540158046869</c:v>
                </c:pt>
                <c:pt idx="496">
                  <c:v>-30.0552428489151</c:v>
                </c:pt>
                <c:pt idx="497">
                  <c:v>-30.3831923584228</c:v>
                </c:pt>
                <c:pt idx="498">
                  <c:v>-30.718634430160307</c:v>
                </c:pt>
                <c:pt idx="499">
                  <c:v>-31.061782560964279</c:v>
                </c:pt>
                <c:pt idx="500">
                  <c:v>-31.412814259348771</c:v>
                </c:pt>
                <c:pt idx="501">
                  <c:v>-31.77186776457561</c:v>
                </c:pt>
                <c:pt idx="502">
                  <c:v>-32.139039340190337</c:v>
                </c:pt>
                <c:pt idx="503">
                  <c:v>-32.514381239959867</c:v>
                </c:pt>
                <c:pt idx="504">
                  <c:v>-32.897900422347547</c:v>
                </c:pt>
                <c:pt idx="505">
                  <c:v>-33.289558063097253</c:v>
                </c:pt>
                <c:pt idx="506">
                  <c:v>-33.689269885747535</c:v>
                </c:pt>
                <c:pt idx="507">
                  <c:v>-34.096907298850745</c:v>
                </c:pt>
                <c:pt idx="508">
                  <c:v>-34.512299298361754</c:v>
                </c:pt>
                <c:pt idx="509">
                  <c:v>-34.935235066019544</c:v>
                </c:pt>
                <c:pt idx="510">
                  <c:v>-35.36546717126658</c:v>
                </c:pt>
                <c:pt idx="511">
                  <c:v>-35.802715266614882</c:v>
                </c:pt>
                <c:pt idx="512">
                  <c:v>-36.246670155110422</c:v>
                </c:pt>
                <c:pt idx="513">
                  <c:v>-36.696998103912549</c:v>
                </c:pt>
                <c:pt idx="514">
                  <c:v>-37.153345279655866</c:v>
                </c:pt>
                <c:pt idx="515">
                  <c:v>-37.615342188476994</c:v>
                </c:pt>
                <c:pt idx="516">
                  <c:v>-38.082608015309901</c:v>
                </c:pt>
                <c:pt idx="517">
                  <c:v>-38.554754772027124</c:v>
                </c:pt>
                <c:pt idx="518">
                  <c:v>-39.031391180967631</c:v>
                </c:pt>
                <c:pt idx="519">
                  <c:v>-39.512126238104671</c:v>
                </c:pt>
                <c:pt idx="520">
                  <c:v>-39.996572417520483</c:v>
                </c:pt>
                <c:pt idx="521">
                  <c:v>-40.484348495098956</c:v>
                </c:pt>
                <c:pt idx="522">
                  <c:v>-40.97508198381648</c:v>
                </c:pt>
                <c:pt idx="523">
                  <c:v>-41.468411185304994</c:v>
                </c:pt>
                <c:pt idx="524">
                  <c:v>-41.963986872306421</c:v>
                </c:pt>
                <c:pt idx="525">
                  <c:v>-42.461473624228731</c:v>
                </c:pt>
                <c:pt idx="526">
                  <c:v>-42.960550843389875</c:v>
                </c:pt>
                <c:pt idx="527">
                  <c:v>-43.460913482909973</c:v>
                </c:pt>
                <c:pt idx="528">
                  <c:v>-43.962272518870691</c:v>
                </c:pt>
                <c:pt idx="529">
                  <c:v>-44.464355199621664</c:v>
                </c:pt>
                <c:pt idx="530">
                  <c:v>-44.966905104240922</c:v>
                </c:pt>
                <c:pt idx="531">
                  <c:v>-45.469682040495705</c:v>
                </c:pt>
                <c:pt idx="532">
                  <c:v>-45.972461810382171</c:v>
                </c:pt>
                <c:pt idx="533">
                  <c:v>-46.475035868736121</c:v>
                </c:pt>
                <c:pt idx="534">
                  <c:v>-46.977210897613382</c:v>
                </c:pt>
                <c:pt idx="535">
                  <c:v>-47.47880831634167</c:v>
                </c:pt>
                <c:pt idx="536">
                  <c:v>-47.979663744395566</c:v>
                </c:pt>
                <c:pt idx="537">
                  <c:v>-48.479626431662496</c:v>
                </c:pt>
                <c:pt idx="538">
                  <c:v>-48.978558668269763</c:v>
                </c:pt>
                <c:pt idx="539">
                  <c:v>-49.476335183984787</c:v>
                </c:pt>
                <c:pt idx="540">
                  <c:v>-49.972842545274347</c:v>
                </c:pt>
                <c:pt idx="541">
                  <c:v>-50.467978556435931</c:v>
                </c:pt>
              </c:numCache>
            </c:numRef>
          </c:yVal>
          <c:smooth val="1"/>
          <c:extLst>
            <c:ext xmlns:c16="http://schemas.microsoft.com/office/drawing/2014/chart" uri="{C3380CC4-5D6E-409C-BE32-E72D297353CC}">
              <c16:uniqueId val="{00000000-2470-421C-8EF3-DF4BAC2DF802}"/>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2470-421C-8EF3-DF4BAC2DF802}"/>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2470-421C-8EF3-DF4BAC2DF802}"/>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178.49152496287331</c:v>
                </c:pt>
              </c:numCache>
            </c:numRef>
          </c:xVal>
          <c:yVal>
            <c:numRef>
              <c:f>Loop_Modeling!$AT$11</c:f>
              <c:numCache>
                <c:formatCode>0.000</c:formatCode>
                <c:ptCount val="1"/>
                <c:pt idx="0">
                  <c:v>69.054443443862439</c:v>
                </c:pt>
              </c:numCache>
            </c:numRef>
          </c:yVal>
          <c:smooth val="0"/>
          <c:extLst>
            <c:ext xmlns:c16="http://schemas.microsoft.com/office/drawing/2014/chart" uri="{C3380CC4-5D6E-409C-BE32-E72D297353CC}">
              <c16:uniqueId val="{00000002-2470-421C-8EF3-DF4BAC2DF802}"/>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470-421C-8EF3-DF4BAC2DF802}"/>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309881.11972721049</c:v>
                </c:pt>
              </c:numCache>
            </c:numRef>
          </c:xVal>
          <c:yVal>
            <c:numRef>
              <c:f>Loop_Modeling!$AT$9</c:f>
              <c:numCache>
                <c:formatCode>0.000</c:formatCode>
                <c:ptCount val="1"/>
                <c:pt idx="0">
                  <c:v>-17.802761571216973</c:v>
                </c:pt>
              </c:numCache>
            </c:numRef>
          </c:yVal>
          <c:smooth val="1"/>
          <c:extLst>
            <c:ext xmlns:c16="http://schemas.microsoft.com/office/drawing/2014/chart" uri="{C3380CC4-5D6E-409C-BE32-E72D297353CC}">
              <c16:uniqueId val="{00000004-2470-421C-8EF3-DF4BAC2DF802}"/>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2470-421C-8EF3-DF4BAC2DF802}"/>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2470-421C-8EF3-DF4BAC2DF802}"/>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2652582.3848649226</c:v>
                </c:pt>
              </c:numCache>
            </c:numRef>
          </c:xVal>
          <c:yVal>
            <c:numRef>
              <c:f>Loop_Modeling!$AT$10</c:f>
              <c:numCache>
                <c:formatCode>0.000</c:formatCode>
                <c:ptCount val="1"/>
                <c:pt idx="0">
                  <c:v>-50.649275784884146</c:v>
                </c:pt>
              </c:numCache>
            </c:numRef>
          </c:yVal>
          <c:smooth val="1"/>
          <c:extLst>
            <c:ext xmlns:c16="http://schemas.microsoft.com/office/drawing/2014/chart" uri="{C3380CC4-5D6E-409C-BE32-E72D297353CC}">
              <c16:uniqueId val="{00000006-2470-421C-8EF3-DF4BAC2DF802}"/>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2470-421C-8EF3-DF4BAC2DF80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2210.4853207207684</c:v>
                </c:pt>
              </c:numCache>
            </c:numRef>
          </c:xVal>
          <c:yVal>
            <c:numRef>
              <c:f>Loop_Modeling!$AT$12</c:f>
              <c:numCache>
                <c:formatCode>0.000</c:formatCode>
                <c:ptCount val="1"/>
                <c:pt idx="0">
                  <c:v>31.303306100258443</c:v>
                </c:pt>
              </c:numCache>
            </c:numRef>
          </c:yVal>
          <c:smooth val="1"/>
          <c:extLst>
            <c:ext xmlns:c16="http://schemas.microsoft.com/office/drawing/2014/chart" uri="{C3380CC4-5D6E-409C-BE32-E72D297353CC}">
              <c16:uniqueId val="{00000008-2470-421C-8EF3-DF4BAC2DF802}"/>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470-421C-8EF3-DF4BAC2DF802}"/>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172247.81768385682</c:v>
                </c:pt>
              </c:numCache>
            </c:numRef>
          </c:xVal>
          <c:yVal>
            <c:numRef>
              <c:f>Loop_Modeling!$AT$13</c:f>
              <c:numCache>
                <c:formatCode>0.000</c:formatCode>
                <c:ptCount val="1"/>
                <c:pt idx="0">
                  <c:v>-11.324557085921334</c:v>
                </c:pt>
              </c:numCache>
            </c:numRef>
          </c:yVal>
          <c:smooth val="1"/>
          <c:extLst>
            <c:ext xmlns:c16="http://schemas.microsoft.com/office/drawing/2014/chart" uri="{C3380CC4-5D6E-409C-BE32-E72D297353CC}">
              <c16:uniqueId val="{0000000A-2470-421C-8EF3-DF4BAC2DF802}"/>
            </c:ext>
          </c:extLst>
        </c:ser>
        <c:dLbls>
          <c:showLegendKey val="0"/>
          <c:showVal val="0"/>
          <c:showCatName val="0"/>
          <c:showSerName val="0"/>
          <c:showPercent val="0"/>
          <c:showBubbleSize val="0"/>
        </c:dLbls>
        <c:axId val="144369152"/>
        <c:axId val="144371072"/>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86.978249100756088</c:v>
                </c:pt>
                <c:pt idx="1">
                  <c:v>86.908036244098042</c:v>
                </c:pt>
                <c:pt idx="2">
                  <c:v>86.836200240730761</c:v>
                </c:pt>
                <c:pt idx="3">
                  <c:v>86.762704159615012</c:v>
                </c:pt>
                <c:pt idx="4">
                  <c:v>86.687510271673958</c:v>
                </c:pt>
                <c:pt idx="5">
                  <c:v>86.610580035589663</c:v>
                </c:pt>
                <c:pt idx="6">
                  <c:v>86.531874083575218</c:v>
                </c:pt>
                <c:pt idx="7">
                  <c:v>86.451352207142023</c:v>
                </c:pt>
                <c:pt idx="8">
                  <c:v>86.368973342885212</c:v>
                </c:pt>
                <c:pt idx="9">
                  <c:v>86.284695558311014</c:v>
                </c:pt>
                <c:pt idx="10">
                  <c:v>86.198476037732846</c:v>
                </c:pt>
                <c:pt idx="11">
                  <c:v>86.110271068264211</c:v>
                </c:pt>
                <c:pt idx="12">
                  <c:v>86.0200360259402</c:v>
                </c:pt>
                <c:pt idx="13">
                  <c:v>85.9277253620008</c:v>
                </c:pt>
                <c:pt idx="14">
                  <c:v>85.833292589372604</c:v>
                </c:pt>
                <c:pt idx="15">
                  <c:v>85.73669026938839</c:v>
                </c:pt>
                <c:pt idx="16">
                  <c:v>85.637869998787124</c:v>
                </c:pt>
                <c:pt idx="17">
                  <c:v>85.536782397040113</c:v>
                </c:pt>
                <c:pt idx="18">
                  <c:v>85.433377094053014</c:v>
                </c:pt>
                <c:pt idx="19">
                  <c:v>85.32760271829666</c:v>
                </c:pt>
                <c:pt idx="20">
                  <c:v>85.219406885424021</c:v>
                </c:pt>
                <c:pt idx="21">
                  <c:v>85.108736187434602</c:v>
                </c:pt>
                <c:pt idx="22">
                  <c:v>84.995536182453023</c:v>
                </c:pt>
                <c:pt idx="23">
                  <c:v>84.879751385190872</c:v>
                </c:pt>
                <c:pt idx="24">
                  <c:v>84.761325258169578</c:v>
                </c:pt>
                <c:pt idx="25">
                  <c:v>84.640200203783522</c:v>
                </c:pt>
                <c:pt idx="26">
                  <c:v>84.516317557291956</c:v>
                </c:pt>
                <c:pt idx="27">
                  <c:v>84.389617580830276</c:v>
                </c:pt>
                <c:pt idx="28">
                  <c:v>84.260039458541812</c:v>
                </c:pt>
                <c:pt idx="29">
                  <c:v>84.127521292933281</c:v>
                </c:pt>
                <c:pt idx="30">
                  <c:v>83.992000102568838</c:v>
                </c:pt>
                <c:pt idx="31">
                  <c:v>83.853411821218884</c:v>
                </c:pt>
                <c:pt idx="32">
                  <c:v>83.711691298595383</c:v>
                </c:pt>
                <c:pt idx="33">
                  <c:v>83.56677230280394</c:v>
                </c:pt>
                <c:pt idx="34">
                  <c:v>83.418587524659628</c:v>
                </c:pt>
                <c:pt idx="35">
                  <c:v>83.26706858401802</c:v>
                </c:pt>
                <c:pt idx="36">
                  <c:v>83.112146038279732</c:v>
                </c:pt>
                <c:pt idx="37">
                  <c:v>82.953749393243896</c:v>
                </c:pt>
                <c:pt idx="38">
                  <c:v>82.791807116485572</c:v>
                </c:pt>
                <c:pt idx="39">
                  <c:v>82.626246653450949</c:v>
                </c:pt>
                <c:pt idx="40">
                  <c:v>82.456994446468428</c:v>
                </c:pt>
                <c:pt idx="41">
                  <c:v>82.283975956888284</c:v>
                </c:pt>
                <c:pt idx="42">
                  <c:v>82.10711569057149</c:v>
                </c:pt>
                <c:pt idx="43">
                  <c:v>81.926337226962161</c:v>
                </c:pt>
                <c:pt idx="44">
                  <c:v>81.741563251985923</c:v>
                </c:pt>
                <c:pt idx="45">
                  <c:v>81.552715595032339</c:v>
                </c:pt>
                <c:pt idx="46">
                  <c:v>81.359715270286785</c:v>
                </c:pt>
                <c:pt idx="47">
                  <c:v>81.162482522691462</c:v>
                </c:pt>
                <c:pt idx="48">
                  <c:v>80.96093687882572</c:v>
                </c:pt>
                <c:pt idx="49">
                  <c:v>80.754997203006624</c:v>
                </c:pt>
                <c:pt idx="50">
                  <c:v>80.54458175892411</c:v>
                </c:pt>
                <c:pt idx="51">
                  <c:v>80.329608277132863</c:v>
                </c:pt>
                <c:pt idx="52">
                  <c:v>80.109994028733809</c:v>
                </c:pt>
                <c:pt idx="53">
                  <c:v>79.885655905591221</c:v>
                </c:pt>
                <c:pt idx="54">
                  <c:v>79.656510507435641</c:v>
                </c:pt>
                <c:pt idx="55">
                  <c:v>79.422474236213219</c:v>
                </c:pt>
                <c:pt idx="56">
                  <c:v>79.183463398048119</c:v>
                </c:pt>
                <c:pt idx="57">
                  <c:v>78.939394313191173</c:v>
                </c:pt>
                <c:pt idx="58">
                  <c:v>78.690183434328787</c:v>
                </c:pt>
                <c:pt idx="59">
                  <c:v>78.43574747363354</c:v>
                </c:pt>
                <c:pt idx="60">
                  <c:v>78.176003538929109</c:v>
                </c:pt>
                <c:pt idx="61">
                  <c:v>77.910869279349384</c:v>
                </c:pt>
                <c:pt idx="62">
                  <c:v>77.64026304085877</c:v>
                </c:pt>
                <c:pt idx="63">
                  <c:v>77.364104031994273</c:v>
                </c:pt>
                <c:pt idx="64">
                  <c:v>77.082312500180834</c:v>
                </c:pt>
                <c:pt idx="65">
                  <c:v>76.794809918950094</c:v>
                </c:pt>
                <c:pt idx="66">
                  <c:v>76.501519186379355</c:v>
                </c:pt>
                <c:pt idx="67">
                  <c:v>76.20236483503399</c:v>
                </c:pt>
                <c:pt idx="68">
                  <c:v>75.89727325367862</c:v>
                </c:pt>
                <c:pt idx="69">
                  <c:v>75.586172920973283</c:v>
                </c:pt>
                <c:pt idx="70">
                  <c:v>75.268994651342695</c:v>
                </c:pt>
                <c:pt idx="71">
                  <c:v>74.945671853148738</c:v>
                </c:pt>
                <c:pt idx="72">
                  <c:v>74.616140799247873</c:v>
                </c:pt>
                <c:pt idx="73">
                  <c:v>74.280340909951207</c:v>
                </c:pt>
                <c:pt idx="74">
                  <c:v>73.938215048337099</c:v>
                </c:pt>
                <c:pt idx="75">
                  <c:v>73.589709827786763</c:v>
                </c:pt>
                <c:pt idx="76">
                  <c:v>73.234775931529114</c:v>
                </c:pt>
                <c:pt idx="77">
                  <c:v>72.873368443889973</c:v>
                </c:pt>
                <c:pt idx="78">
                  <c:v>72.505447192832534</c:v>
                </c:pt>
                <c:pt idx="79">
                  <c:v>72.130977103270524</c:v>
                </c:pt>
                <c:pt idx="80">
                  <c:v>71.749928560512075</c:v>
                </c:pt>
                <c:pt idx="81">
                  <c:v>71.362277783067398</c:v>
                </c:pt>
                <c:pt idx="82">
                  <c:v>70.968007203914311</c:v>
                </c:pt>
                <c:pt idx="83">
                  <c:v>70.567105859173694</c:v>
                </c:pt>
                <c:pt idx="84">
                  <c:v>70.15956978299532</c:v>
                </c:pt>
                <c:pt idx="85">
                  <c:v>69.745402407299792</c:v>
                </c:pt>
                <c:pt idx="86">
                  <c:v>69.32461496485638</c:v>
                </c:pt>
                <c:pt idx="87">
                  <c:v>68.897226894016072</c:v>
                </c:pt>
                <c:pt idx="88">
                  <c:v>68.463266243246991</c:v>
                </c:pt>
                <c:pt idx="89">
                  <c:v>68.022770073453458</c:v>
                </c:pt>
                <c:pt idx="90">
                  <c:v>67.575784855893545</c:v>
                </c:pt>
                <c:pt idx="91">
                  <c:v>67.122366863343814</c:v>
                </c:pt>
                <c:pt idx="92">
                  <c:v>66.662582552010704</c:v>
                </c:pt>
                <c:pt idx="93">
                  <c:v>66.196508931529223</c:v>
                </c:pt>
                <c:pt idx="94">
                  <c:v>65.72423392026532</c:v>
                </c:pt>
                <c:pt idx="95">
                  <c:v>65.245856683010572</c:v>
                </c:pt>
                <c:pt idx="96">
                  <c:v>64.761487948058246</c:v>
                </c:pt>
                <c:pt idx="97">
                  <c:v>64.271250300568468</c:v>
                </c:pt>
                <c:pt idx="98">
                  <c:v>63.775278449072559</c:v>
                </c:pt>
                <c:pt idx="99">
                  <c:v>63.273719461943358</c:v>
                </c:pt>
                <c:pt idx="100">
                  <c:v>62.766732970655973</c:v>
                </c:pt>
                <c:pt idx="101">
                  <c:v>62.254491336706245</c:v>
                </c:pt>
                <c:pt idx="102">
                  <c:v>61.737179779126073</c:v>
                </c:pt>
                <c:pt idx="103">
                  <c:v>61.214996459651005</c:v>
                </c:pt>
                <c:pt idx="104">
                  <c:v>60.688152522748446</c:v>
                </c:pt>
                <c:pt idx="105">
                  <c:v>60.156872087917918</c:v>
                </c:pt>
                <c:pt idx="106">
                  <c:v>59.621392191910168</c:v>
                </c:pt>
                <c:pt idx="107">
                  <c:v>59.081962678801204</c:v>
                </c:pt>
                <c:pt idx="108">
                  <c:v>58.538846036183045</c:v>
                </c:pt>
                <c:pt idx="109">
                  <c:v>57.992317176100066</c:v>
                </c:pt>
                <c:pt idx="110">
                  <c:v>57.442663159766703</c:v>
                </c:pt>
                <c:pt idx="111">
                  <c:v>56.890182865544297</c:v>
                </c:pt>
                <c:pt idx="112">
                  <c:v>56.335186600121965</c:v>
                </c:pt>
                <c:pt idx="113">
                  <c:v>55.777995653347723</c:v>
                </c:pt>
                <c:pt idx="114">
                  <c:v>55.218941797666936</c:v>
                </c:pt>
                <c:pt idx="115">
                  <c:v>54.658366733653615</c:v>
                </c:pt>
                <c:pt idx="116">
                  <c:v>54.09662148365409</c:v>
                </c:pt>
                <c:pt idx="117">
                  <c:v>53.534065736087904</c:v>
                </c:pt>
                <c:pt idx="118">
                  <c:v>52.971067143470457</c:v>
                </c:pt>
                <c:pt idx="119">
                  <c:v>52.408000577717516</c:v>
                </c:pt>
                <c:pt idx="120">
                  <c:v>51.845247346762889</c:v>
                </c:pt>
                <c:pt idx="121">
                  <c:v>51.283194376950298</c:v>
                </c:pt>
                <c:pt idx="122">
                  <c:v>50.722233366052656</c:v>
                </c:pt>
                <c:pt idx="123">
                  <c:v>50.162759912101656</c:v>
                </c:pt>
                <c:pt idx="124">
                  <c:v>49.60517262350168</c:v>
                </c:pt>
                <c:pt idx="125">
                  <c:v>49.049872216105811</c:v>
                </c:pt>
                <c:pt idx="126">
                  <c:v>48.49726060309051</c:v>
                </c:pt>
                <c:pt idx="127">
                  <c:v>47.947739983537822</c:v>
                </c:pt>
                <c:pt idx="128">
                  <c:v>47.401711935656408</c:v>
                </c:pt>
                <c:pt idx="129">
                  <c:v>46.859576520480324</c:v>
                </c:pt>
                <c:pt idx="130">
                  <c:v>46.321731401784589</c:v>
                </c:pt>
                <c:pt idx="131">
                  <c:v>45.788570987727091</c:v>
                </c:pt>
                <c:pt idx="132">
                  <c:v>45.260485599474578</c:v>
                </c:pt>
                <c:pt idx="133">
                  <c:v>44.737860671731291</c:v>
                </c:pt>
                <c:pt idx="134">
                  <c:v>44.221075989723879</c:v>
                </c:pt>
                <c:pt idx="135">
                  <c:v>43.71050496675516</c:v>
                </c:pt>
                <c:pt idx="136">
                  <c:v>43.206513965978282</c:v>
                </c:pt>
                <c:pt idx="137">
                  <c:v>42.709461669550763</c:v>
                </c:pt>
                <c:pt idx="138">
                  <c:v>42.219698497801311</c:v>
                </c:pt>
                <c:pt idx="139">
                  <c:v>41.737566080502553</c:v>
                </c:pt>
                <c:pt idx="140">
                  <c:v>41.263396781822735</c:v>
                </c:pt>
                <c:pt idx="141">
                  <c:v>40.797513279964214</c:v>
                </c:pt>
                <c:pt idx="142">
                  <c:v>40.340228201987955</c:v>
                </c:pt>
                <c:pt idx="143">
                  <c:v>39.891843813802062</c:v>
                </c:pt>
                <c:pt idx="144">
                  <c:v>39.452651764798539</c:v>
                </c:pt>
                <c:pt idx="145">
                  <c:v>39.022932886177919</c:v>
                </c:pt>
                <c:pt idx="146">
                  <c:v>38.602957041547604</c:v>
                </c:pt>
                <c:pt idx="147">
                  <c:v>38.192983028017359</c:v>
                </c:pt>
                <c:pt idx="148">
                  <c:v>37.793258525638407</c:v>
                </c:pt>
                <c:pt idx="149">
                  <c:v>37.404020092741533</c:v>
                </c:pt>
                <c:pt idx="150">
                  <c:v>37.025493204449788</c:v>
                </c:pt>
                <c:pt idx="151">
                  <c:v>36.657892331429721</c:v>
                </c:pt>
                <c:pt idx="152">
                  <c:v>36.301421055749863</c:v>
                </c:pt>
                <c:pt idx="153">
                  <c:v>35.956272220589483</c:v>
                </c:pt>
                <c:pt idx="154">
                  <c:v>35.622628110433553</c:v>
                </c:pt>
                <c:pt idx="155">
                  <c:v>35.300660658328844</c:v>
                </c:pt>
                <c:pt idx="156">
                  <c:v>34.990531676750486</c:v>
                </c:pt>
                <c:pt idx="157">
                  <c:v>34.692393108636665</c:v>
                </c:pt>
                <c:pt idx="158">
                  <c:v>34.406387295181467</c:v>
                </c:pt>
                <c:pt idx="159">
                  <c:v>34.13264725703732</c:v>
                </c:pt>
                <c:pt idx="160">
                  <c:v>33.871296985665396</c:v>
                </c:pt>
                <c:pt idx="161">
                  <c:v>33.622451741674901</c:v>
                </c:pt>
                <c:pt idx="162">
                  <c:v>33.386218357114593</c:v>
                </c:pt>
                <c:pt idx="163">
                  <c:v>33.1626955388111</c:v>
                </c:pt>
                <c:pt idx="164">
                  <c:v>32.951974170000923</c:v>
                </c:pt>
                <c:pt idx="165">
                  <c:v>32.754137607647422</c:v>
                </c:pt>
                <c:pt idx="166">
                  <c:v>32.569261973003073</c:v>
                </c:pt>
                <c:pt idx="167">
                  <c:v>32.397416433133365</c:v>
                </c:pt>
                <c:pt idx="168">
                  <c:v>32.238663471291702</c:v>
                </c:pt>
                <c:pt idx="169">
                  <c:v>32.093059144191436</c:v>
                </c:pt>
                <c:pt idx="170">
                  <c:v>31.960653324393977</c:v>
                </c:pt>
                <c:pt idx="171">
                  <c:v>31.841489926192125</c:v>
                </c:pt>
                <c:pt idx="172">
                  <c:v>31.735607113527347</c:v>
                </c:pt>
                <c:pt idx="173">
                  <c:v>31.643037488635215</c:v>
                </c:pt>
                <c:pt idx="174">
                  <c:v>31.563808260274129</c:v>
                </c:pt>
                <c:pt idx="175">
                  <c:v>31.497941390528613</c:v>
                </c:pt>
                <c:pt idx="176">
                  <c:v>31.44545371933788</c:v>
                </c:pt>
                <c:pt idx="177">
                  <c:v>31.406357066034474</c:v>
                </c:pt>
                <c:pt idx="178">
                  <c:v>31.380658307316498</c:v>
                </c:pt>
                <c:pt idx="179">
                  <c:v>31.368359431217939</c:v>
                </c:pt>
                <c:pt idx="180">
                  <c:v>31.369457566769494</c:v>
                </c:pt>
                <c:pt idx="181">
                  <c:v>31.383944989181071</c:v>
                </c:pt>
                <c:pt idx="182">
                  <c:v>31.411809100500001</c:v>
                </c:pt>
                <c:pt idx="183">
                  <c:v>31.453032385839627</c:v>
                </c:pt>
                <c:pt idx="184">
                  <c:v>31.507592345395636</c:v>
                </c:pt>
                <c:pt idx="185">
                  <c:v>31.57546140260742</c:v>
                </c:pt>
                <c:pt idx="186">
                  <c:v>31.656606788951148</c:v>
                </c:pt>
                <c:pt idx="187">
                  <c:v>31.750990405990819</c:v>
                </c:pt>
                <c:pt idx="188">
                  <c:v>31.858568665454843</c:v>
                </c:pt>
                <c:pt idx="189">
                  <c:v>31.979292308243178</c:v>
                </c:pt>
                <c:pt idx="190">
                  <c:v>32.113106203427591</c:v>
                </c:pt>
                <c:pt idx="191">
                  <c:v>32.259949128445662</c:v>
                </c:pt>
                <c:pt idx="192">
                  <c:v>32.419753531856905</c:v>
                </c:pt>
                <c:pt idx="193">
                  <c:v>32.592445280174687</c:v>
                </c:pt>
                <c:pt idx="194">
                  <c:v>32.777943390461346</c:v>
                </c:pt>
                <c:pt idx="195">
                  <c:v>32.97615975052959</c:v>
                </c:pt>
                <c:pt idx="196">
                  <c:v>33.186998828759869</c:v>
                </c:pt>
                <c:pt idx="197">
                  <c:v>33.410357375711776</c:v>
                </c:pt>
                <c:pt idx="198">
                  <c:v>33.646124119874365</c:v>
                </c:pt>
                <c:pt idx="199">
                  <c:v>33.894179460051681</c:v>
                </c:pt>
                <c:pt idx="200">
                  <c:v>34.154395157054289</c:v>
                </c:pt>
                <c:pt idx="201">
                  <c:v>34.426634027503816</c:v>
                </c:pt>
                <c:pt idx="202">
                  <c:v>34.710749642703156</c:v>
                </c:pt>
                <c:pt idx="203">
                  <c:v>35.006586035663744</c:v>
                </c:pt>
                <c:pt idx="204">
                  <c:v>35.313977419480167</c:v>
                </c:pt>
                <c:pt idx="205">
                  <c:v>35.632747920351399</c:v>
                </c:pt>
                <c:pt idx="206">
                  <c:v>35.962711328622824</c:v>
                </c:pt>
                <c:pt idx="207">
                  <c:v>36.303670871265716</c:v>
                </c:pt>
                <c:pt idx="208">
                  <c:v>36.655419009248305</c:v>
                </c:pt>
                <c:pt idx="209">
                  <c:v>37.0177372632361</c:v>
                </c:pt>
                <c:pt idx="210">
                  <c:v>37.390396071024547</c:v>
                </c:pt>
                <c:pt idx="211">
                  <c:v>37.773154680025506</c:v>
                </c:pt>
                <c:pt idx="212">
                  <c:v>38.165761078027479</c:v>
                </c:pt>
                <c:pt idx="213">
                  <c:v>38.567951965270908</c:v>
                </c:pt>
                <c:pt idx="214">
                  <c:v>38.979452770710097</c:v>
                </c:pt>
                <c:pt idx="215">
                  <c:v>39.399977715068275</c:v>
                </c:pt>
                <c:pt idx="216">
                  <c:v>39.829229923024201</c:v>
                </c:pt>
                <c:pt idx="217">
                  <c:v>40.266901586536633</c:v>
                </c:pt>
                <c:pt idx="218">
                  <c:v>40.712674180945228</c:v>
                </c:pt>
                <c:pt idx="219">
                  <c:v>41.166218735083234</c:v>
                </c:pt>
                <c:pt idx="220">
                  <c:v>41.627196156193627</c:v>
                </c:pt>
                <c:pt idx="221">
                  <c:v>42.095257609968741</c:v>
                </c:pt>
                <c:pt idx="222">
                  <c:v>42.57004495553106</c:v>
                </c:pt>
                <c:pt idx="223">
                  <c:v>43.051191234661282</c:v>
                </c:pt>
                <c:pt idx="224">
                  <c:v>43.538321214032244</c:v>
                </c:pt>
                <c:pt idx="225">
                  <c:v>44.031051978682441</c:v>
                </c:pt>
                <c:pt idx="226">
                  <c:v>44.528993574412468</c:v>
                </c:pt>
                <c:pt idx="227">
                  <c:v>45.031749696259659</c:v>
                </c:pt>
                <c:pt idx="228">
                  <c:v>45.538918419698824</c:v>
                </c:pt>
                <c:pt idx="229">
                  <c:v>46.050092970728215</c:v>
                </c:pt>
                <c:pt idx="230">
                  <c:v>46.564862530541049</c:v>
                </c:pt>
                <c:pt idx="231">
                  <c:v>47.082813070087624</c:v>
                </c:pt>
                <c:pt idx="232">
                  <c:v>47.603528209457416</c:v>
                </c:pt>
                <c:pt idx="233">
                  <c:v>48.126590096720307</c:v>
                </c:pt>
                <c:pt idx="234">
                  <c:v>48.651580300609417</c:v>
                </c:pt>
                <c:pt idx="235">
                  <c:v>49.178080711264791</c:v>
                </c:pt>
                <c:pt idx="236">
                  <c:v>49.705674443139898</c:v>
                </c:pt>
                <c:pt idx="237">
                  <c:v>50.233946734141071</c:v>
                </c:pt>
                <c:pt idx="238">
                  <c:v>50.762485835108151</c:v>
                </c:pt>
                <c:pt idx="239">
                  <c:v>51.290883883841978</c:v>
                </c:pt>
                <c:pt idx="240">
                  <c:v>51.818737758077319</c:v>
                </c:pt>
                <c:pt idx="241">
                  <c:v>52.34564990201909</c:v>
                </c:pt>
                <c:pt idx="242">
                  <c:v>52.871229121384793</c:v>
                </c:pt>
                <c:pt idx="243">
                  <c:v>53.395091342237201</c:v>
                </c:pt>
                <c:pt idx="244">
                  <c:v>53.916860329303582</c:v>
                </c:pt>
                <c:pt idx="245">
                  <c:v>54.436168359929596</c:v>
                </c:pt>
                <c:pt idx="246">
                  <c:v>54.952656850287305</c:v>
                </c:pt>
                <c:pt idx="247">
                  <c:v>55.465976930973312</c:v>
                </c:pt>
                <c:pt idx="248">
                  <c:v>55.975789969646492</c:v>
                </c:pt>
                <c:pt idx="249">
                  <c:v>56.481768038890799</c:v>
                </c:pt>
                <c:pt idx="250">
                  <c:v>56.983594328020835</c:v>
                </c:pt>
                <c:pt idx="251">
                  <c:v>57.480963498065044</c:v>
                </c:pt>
                <c:pt idx="252">
                  <c:v>57.97358197967452</c:v>
                </c:pt>
                <c:pt idx="253">
                  <c:v>58.46116821419448</c:v>
                </c:pt>
                <c:pt idx="254">
                  <c:v>58.943452838586175</c:v>
                </c:pt>
                <c:pt idx="255">
                  <c:v>59.420178815327098</c:v>
                </c:pt>
                <c:pt idx="256">
                  <c:v>59.89110150879619</c:v>
                </c:pt>
                <c:pt idx="257">
                  <c:v>60.355988710012866</c:v>
                </c:pt>
                <c:pt idx="258">
                  <c:v>60.814620611905816</c:v>
                </c:pt>
                <c:pt idx="259">
                  <c:v>61.266789737552116</c:v>
                </c:pt>
                <c:pt idx="260">
                  <c:v>61.712300824057856</c:v>
                </c:pt>
                <c:pt idx="261">
                  <c:v>62.150970664928209</c:v>
                </c:pt>
                <c:pt idx="262">
                  <c:v>62.582627913916049</c:v>
                </c:pt>
                <c:pt idx="263">
                  <c:v>63.007112853438024</c:v>
                </c:pt>
                <c:pt idx="264">
                  <c:v>63.424277130704475</c:v>
                </c:pt>
                <c:pt idx="265">
                  <c:v>63.833983464735219</c:v>
                </c:pt>
                <c:pt idx="266">
                  <c:v>64.2361053274238</c:v>
                </c:pt>
                <c:pt idx="267">
                  <c:v>64.630526601776481</c:v>
                </c:pt>
                <c:pt idx="268">
                  <c:v>65.01714122037977</c:v>
                </c:pt>
                <c:pt idx="269">
                  <c:v>65.395852787068065</c:v>
                </c:pt>
                <c:pt idx="270">
                  <c:v>65.76657418464643</c:v>
                </c:pt>
                <c:pt idx="271">
                  <c:v>66.129227171403826</c:v>
                </c:pt>
                <c:pt idx="272">
                  <c:v>66.483741969003106</c:v>
                </c:pt>
                <c:pt idx="273">
                  <c:v>66.830056844191731</c:v>
                </c:pt>
                <c:pt idx="274">
                  <c:v>67.168117686611069</c:v>
                </c:pt>
                <c:pt idx="275">
                  <c:v>67.497877584818056</c:v>
                </c:pt>
                <c:pt idx="276">
                  <c:v>67.819296402473526</c:v>
                </c:pt>
                <c:pt idx="277">
                  <c:v>68.132340356469612</c:v>
                </c:pt>
                <c:pt idx="278">
                  <c:v>68.436981598616498</c:v>
                </c:pt>
                <c:pt idx="279">
                  <c:v>68.733197802331318</c:v>
                </c:pt>
                <c:pt idx="280">
                  <c:v>69.02097175562325</c:v>
                </c:pt>
                <c:pt idx="281">
                  <c:v>69.300290961506434</c:v>
                </c:pt>
                <c:pt idx="282">
                  <c:v>69.571147246829668</c:v>
                </c:pt>
                <c:pt idx="283">
                  <c:v>69.833536380368088</c:v>
                </c:pt>
                <c:pt idx="284">
                  <c:v>70.087457700890695</c:v>
                </c:pt>
                <c:pt idx="285">
                  <c:v>70.332913755793854</c:v>
                </c:pt>
                <c:pt idx="286">
                  <c:v>70.569909950773024</c:v>
                </c:pt>
                <c:pt idx="287">
                  <c:v>70.798454210899607</c:v>
                </c:pt>
                <c:pt idx="288">
                  <c:v>71.01855665336906</c:v>
                </c:pt>
                <c:pt idx="289">
                  <c:v>71.230229272099407</c:v>
                </c:pt>
                <c:pt idx="290">
                  <c:v>71.433485634274277</c:v>
                </c:pt>
                <c:pt idx="291">
                  <c:v>71.628340588854257</c:v>
                </c:pt>
                <c:pt idx="292">
                  <c:v>71.814809987011827</c:v>
                </c:pt>
                <c:pt idx="293">
                  <c:v>71.992910414389513</c:v>
                </c:pt>
                <c:pt idx="294">
                  <c:v>72.162658935029285</c:v>
                </c:pt>
                <c:pt idx="295">
                  <c:v>72.324072846774442</c:v>
                </c:pt>
                <c:pt idx="296">
                  <c:v>72.477169447911606</c:v>
                </c:pt>
                <c:pt idx="297">
                  <c:v>72.621965814785241</c:v>
                </c:pt>
                <c:pt idx="298">
                  <c:v>72.758478590090405</c:v>
                </c:pt>
                <c:pt idx="299">
                  <c:v>72.886723781529327</c:v>
                </c:pt>
                <c:pt idx="300">
                  <c:v>73.006716570499336</c:v>
                </c:pt>
                <c:pt idx="301">
                  <c:v>73.118471130466901</c:v>
                </c:pt>
                <c:pt idx="302">
                  <c:v>73.222000454672667</c:v>
                </c:pt>
                <c:pt idx="303">
                  <c:v>73.317316192808349</c:v>
                </c:pt>
                <c:pt idx="304">
                  <c:v>73.40442849630206</c:v>
                </c:pt>
                <c:pt idx="305">
                  <c:v>73.48334587184948</c:v>
                </c:pt>
                <c:pt idx="306">
                  <c:v>73.5540750428314</c:v>
                </c:pt>
                <c:pt idx="307">
                  <c:v>73.616620818261978</c:v>
                </c:pt>
                <c:pt idx="308">
                  <c:v>73.670985968918885</c:v>
                </c:pt>
                <c:pt idx="309">
                  <c:v>73.717171110316116</c:v>
                </c:pt>
                <c:pt idx="310">
                  <c:v>73.755174592187871</c:v>
                </c:pt>
                <c:pt idx="311">
                  <c:v>73.784992394166025</c:v>
                </c:pt>
                <c:pt idx="312">
                  <c:v>73.806618027341827</c:v>
                </c:pt>
                <c:pt idx="313">
                  <c:v>73.820042441419787</c:v>
                </c:pt>
                <c:pt idx="314">
                  <c:v>73.825253937183902</c:v>
                </c:pt>
                <c:pt idx="315">
                  <c:v>73.822238084007665</c:v>
                </c:pt>
                <c:pt idx="316">
                  <c:v>73.810977642162243</c:v>
                </c:pt>
                <c:pt idx="317">
                  <c:v>73.791452489683792</c:v>
                </c:pt>
                <c:pt idx="318">
                  <c:v>73.763639553583218</c:v>
                </c:pt>
                <c:pt idx="319">
                  <c:v>73.727512745196492</c:v>
                </c:pt>
                <c:pt idx="320">
                  <c:v>73.683042899486139</c:v>
                </c:pt>
                <c:pt idx="321">
                  <c:v>73.630197718129921</c:v>
                </c:pt>
                <c:pt idx="322">
                  <c:v>73.5689417162382</c:v>
                </c:pt>
                <c:pt idx="323">
                  <c:v>73.499236172570633</c:v>
                </c:pt>
                <c:pt idx="324">
                  <c:v>73.42103908312896</c:v>
                </c:pt>
                <c:pt idx="325">
                  <c:v>73.334305118027913</c:v>
                </c:pt>
                <c:pt idx="326">
                  <c:v>73.238985581561181</c:v>
                </c:pt>
                <c:pt idx="327">
                  <c:v>73.135028375393418</c:v>
                </c:pt>
                <c:pt idx="328">
                  <c:v>73.022377964832131</c:v>
                </c:pt>
                <c:pt idx="329">
                  <c:v>72.90097534814835</c:v>
                </c:pt>
                <c:pt idx="330">
                  <c:v>72.770758028931951</c:v>
                </c:pt>
                <c:pt idx="331">
                  <c:v>72.631659991486842</c:v>
                </c:pt>
                <c:pt idx="332">
                  <c:v>72.483611679289069</c:v>
                </c:pt>
                <c:pt idx="333">
                  <c:v>72.32653997654667</c:v>
                </c:pt>
                <c:pt idx="334">
                  <c:v>72.160368192923229</c:v>
                </c:pt>
                <c:pt idx="335">
                  <c:v>71.985016051498789</c:v>
                </c:pt>
                <c:pt idx="336">
                  <c:v>71.800399680067088</c:v>
                </c:pt>
                <c:pt idx="337">
                  <c:v>71.606431605880516</c:v>
                </c:pt>
                <c:pt idx="338">
                  <c:v>71.403020753978751</c:v>
                </c:pt>
                <c:pt idx="339">
                  <c:v>71.190072449249854</c:v>
                </c:pt>
                <c:pt idx="340">
                  <c:v>70.967488422399171</c:v>
                </c:pt>
                <c:pt idx="341">
                  <c:v>70.735166820012125</c:v>
                </c:pt>
                <c:pt idx="342">
                  <c:v>70.493002218924261</c:v>
                </c:pt>
                <c:pt idx="343">
                  <c:v>70.240885645125559</c:v>
                </c:pt>
                <c:pt idx="344">
                  <c:v>69.978704597448328</c:v>
                </c:pt>
                <c:pt idx="345">
                  <c:v>69.706343076308556</c:v>
                </c:pt>
                <c:pt idx="346">
                  <c:v>69.42368161778559</c:v>
                </c:pt>
                <c:pt idx="347">
                  <c:v>69.130597333350963</c:v>
                </c:pt>
                <c:pt idx="348">
                  <c:v>68.826963955571173</c:v>
                </c:pt>
                <c:pt idx="349">
                  <c:v>68.51265189012824</c:v>
                </c:pt>
                <c:pt idx="350">
                  <c:v>68.187528274527992</c:v>
                </c:pt>
                <c:pt idx="351">
                  <c:v>67.851457043873339</c:v>
                </c:pt>
                <c:pt idx="352">
                  <c:v>67.504299004105022</c:v>
                </c:pt>
                <c:pt idx="353">
                  <c:v>67.145911913128003</c:v>
                </c:pt>
                <c:pt idx="354">
                  <c:v>66.776150570254089</c:v>
                </c:pt>
                <c:pt idx="355">
                  <c:v>66.39486691441391</c:v>
                </c:pt>
                <c:pt idx="356">
                  <c:v>66.001910131592808</c:v>
                </c:pt>
                <c:pt idx="357">
                  <c:v>65.597126771971659</c:v>
                </c:pt>
                <c:pt idx="358">
                  <c:v>65.180360877250465</c:v>
                </c:pt>
                <c:pt idx="359">
                  <c:v>64.751454118651893</c:v>
                </c:pt>
                <c:pt idx="360">
                  <c:v>64.310245946098007</c:v>
                </c:pt>
                <c:pt idx="361">
                  <c:v>63.856573749063749</c:v>
                </c:pt>
                <c:pt idx="362">
                  <c:v>63.390273029605517</c:v>
                </c:pt>
                <c:pt idx="363">
                  <c:v>62.911177588063801</c:v>
                </c:pt>
                <c:pt idx="364">
                  <c:v>62.419119721926371</c:v>
                </c:pt>
                <c:pt idx="365">
                  <c:v>61.913930438332045</c:v>
                </c:pt>
                <c:pt idx="366">
                  <c:v>61.395439680672354</c:v>
                </c:pt>
                <c:pt idx="367">
                  <c:v>60.863476569735241</c:v>
                </c:pt>
                <c:pt idx="368">
                  <c:v>60.317869659794042</c:v>
                </c:pt>
                <c:pt idx="369">
                  <c:v>59.758447210027448</c:v>
                </c:pt>
                <c:pt idx="370">
                  <c:v>59.185037471602882</c:v>
                </c:pt>
                <c:pt idx="371">
                  <c:v>58.597468990713836</c:v>
                </c:pt>
                <c:pt idx="372">
                  <c:v>57.995570927803421</c:v>
                </c:pt>
                <c:pt idx="373">
                  <c:v>57.379173393152087</c:v>
                </c:pt>
                <c:pt idx="374">
                  <c:v>56.748107798919264</c:v>
                </c:pt>
                <c:pt idx="375">
                  <c:v>56.102207227665822</c:v>
                </c:pt>
                <c:pt idx="376">
                  <c:v>55.441306817282374</c:v>
                </c:pt>
                <c:pt idx="377">
                  <c:v>54.765244162155604</c:v>
                </c:pt>
                <c:pt idx="378">
                  <c:v>54.07385973029222</c:v>
                </c:pt>
                <c:pt idx="379">
                  <c:v>53.366997296004946</c:v>
                </c:pt>
                <c:pt idx="380">
                  <c:v>52.644504387635031</c:v>
                </c:pt>
                <c:pt idx="381">
                  <c:v>51.906232749650876</c:v>
                </c:pt>
                <c:pt idx="382">
                  <c:v>51.152038818311368</c:v>
                </c:pt>
                <c:pt idx="383">
                  <c:v>50.38178420993389</c:v>
                </c:pt>
                <c:pt idx="384">
                  <c:v>49.595336220636256</c:v>
                </c:pt>
                <c:pt idx="385">
                  <c:v>48.792568336264488</c:v>
                </c:pt>
                <c:pt idx="386">
                  <c:v>47.973360751024217</c:v>
                </c:pt>
                <c:pt idx="387">
                  <c:v>47.137600893173548</c:v>
                </c:pt>
                <c:pt idx="388">
                  <c:v>46.285183955934073</c:v>
                </c:pt>
                <c:pt idx="389">
                  <c:v>45.416013431605862</c:v>
                </c:pt>
                <c:pt idx="390">
                  <c:v>44.53000164667715</c:v>
                </c:pt>
                <c:pt idx="391">
                  <c:v>43.627070295545529</c:v>
                </c:pt>
                <c:pt idx="392">
                  <c:v>42.707150970287792</c:v>
                </c:pt>
                <c:pt idx="393">
                  <c:v>41.770185683749801</c:v>
                </c:pt>
                <c:pt idx="394">
                  <c:v>40.816127383064256</c:v>
                </c:pt>
                <c:pt idx="395">
                  <c:v>39.84494045056816</c:v>
                </c:pt>
                <c:pt idx="396">
                  <c:v>38.856601188957541</c:v>
                </c:pt>
                <c:pt idx="397">
                  <c:v>37.851098287406892</c:v>
                </c:pt>
                <c:pt idx="398">
                  <c:v>36.828433265301236</c:v>
                </c:pt>
                <c:pt idx="399">
                  <c:v>35.788620890154782</c:v>
                </c:pt>
                <c:pt idx="400">
                  <c:v>34.73168956626715</c:v>
                </c:pt>
                <c:pt idx="401">
                  <c:v>33.657681690652353</c:v>
                </c:pt>
                <c:pt idx="402">
                  <c:v>32.566653972807067</c:v>
                </c:pt>
                <c:pt idx="403">
                  <c:v>31.458677714943619</c:v>
                </c:pt>
                <c:pt idx="404">
                  <c:v>30.333839049401199</c:v>
                </c:pt>
                <c:pt idx="405">
                  <c:v>29.192239130085223</c:v>
                </c:pt>
                <c:pt idx="406">
                  <c:v>28.033994274931626</c:v>
                </c:pt>
                <c:pt idx="407">
                  <c:v>26.859236056613579</c:v>
                </c:pt>
                <c:pt idx="408">
                  <c:v>25.668111338900324</c:v>
                </c:pt>
                <c:pt idx="409">
                  <c:v>24.460782256369402</c:v>
                </c:pt>
                <c:pt idx="410">
                  <c:v>23.237426135440653</c:v>
                </c:pt>
                <c:pt idx="411">
                  <c:v>21.998235355006209</c:v>
                </c:pt>
                <c:pt idx="412">
                  <c:v>20.743417145265731</c:v>
                </c:pt>
                <c:pt idx="413">
                  <c:v>19.47319332371741</c:v>
                </c:pt>
                <c:pt idx="414">
                  <c:v>18.187799967602807</c:v>
                </c:pt>
                <c:pt idx="415">
                  <c:v>16.887487022456778</c:v>
                </c:pt>
                <c:pt idx="416">
                  <c:v>15.572517846778243</c:v>
                </c:pt>
                <c:pt idx="417">
                  <c:v>14.2431686931741</c:v>
                </c:pt>
                <c:pt idx="418">
                  <c:v>12.899728126668466</c:v>
                </c:pt>
                <c:pt idx="419">
                  <c:v>11.542496381183287</c:v>
                </c:pt>
                <c:pt idx="420">
                  <c:v>10.171784655495879</c:v>
                </c:pt>
                <c:pt idx="421">
                  <c:v>8.7879143502452415</c:v>
                </c:pt>
                <c:pt idx="422">
                  <c:v>7.3912162478004113</c:v>
                </c:pt>
                <c:pt idx="423">
                  <c:v>5.9820296370047599</c:v>
                </c:pt>
                <c:pt idx="424">
                  <c:v>4.5607013850073734</c:v>
                </c:pt>
                <c:pt idx="425">
                  <c:v>3.1275849585109916</c:v>
                </c:pt>
                <c:pt idx="426">
                  <c:v>1.6830393968886068</c:v>
                </c:pt>
                <c:pt idx="427">
                  <c:v>0.22742823972114518</c:v>
                </c:pt>
                <c:pt idx="428">
                  <c:v>-1.2388815886752531</c:v>
                </c:pt>
                <c:pt idx="429">
                  <c:v>-2.7155209350968348</c:v>
                </c:pt>
                <c:pt idx="430">
                  <c:v>-4.2021196110316819</c:v>
                </c:pt>
                <c:pt idx="431">
                  <c:v>-5.6983076213448101</c:v>
                </c:pt>
                <c:pt idx="432">
                  <c:v>-7.2037164254169799</c:v>
                </c:pt>
                <c:pt idx="433">
                  <c:v>-8.7179802281327863</c:v>
                </c:pt>
                <c:pt idx="434">
                  <c:v>-10.240737298061623</c:v>
                </c:pt>
                <c:pt idx="435">
                  <c:v>-11.771631310223153</c:v>
                </c:pt>
                <c:pt idx="436">
                  <c:v>-13.310312710756971</c:v>
                </c:pt>
                <c:pt idx="437">
                  <c:v>-14.856440100795432</c:v>
                </c:pt>
                <c:pt idx="438">
                  <c:v>-16.409681636749241</c:v>
                </c:pt>
                <c:pt idx="439">
                  <c:v>-17.969716444117847</c:v>
                </c:pt>
                <c:pt idx="440">
                  <c:v>-19.536236041784601</c:v>
                </c:pt>
                <c:pt idx="441">
                  <c:v>-21.108945773597085</c:v>
                </c:pt>
                <c:pt idx="442">
                  <c:v>-22.687566243785934</c:v>
                </c:pt>
                <c:pt idx="443">
                  <c:v>-24.271834752535987</c:v>
                </c:pt>
                <c:pt idx="444">
                  <c:v>-25.86150672770863</c:v>
                </c:pt>
                <c:pt idx="445">
                  <c:v>-27.456357148345774</c:v>
                </c:pt>
                <c:pt idx="446">
                  <c:v>-29.056181955202884</c:v>
                </c:pt>
                <c:pt idx="447">
                  <c:v>-30.66079944308288</c:v>
                </c:pt>
                <c:pt idx="448">
                  <c:v>-32.270051629227879</c:v>
                </c:pt>
                <c:pt idx="449">
                  <c:v>-33.883805591456152</c:v>
                </c:pt>
                <c:pt idx="450">
                  <c:v>-35.501954769082353</c:v>
                </c:pt>
                <c:pt idx="451">
                  <c:v>-37.124420218924016</c:v>
                </c:pt>
                <c:pt idx="452">
                  <c:v>-38.751151817902304</c:v>
                </c:pt>
                <c:pt idx="453">
                  <c:v>-40.382129402838153</c:v>
                </c:pt>
                <c:pt idx="454">
                  <c:v>-42.017363837007942</c:v>
                </c:pt>
                <c:pt idx="455">
                  <c:v>-43.656897991900713</c:v>
                </c:pt>
                <c:pt idx="456">
                  <c:v>-45.300807631313759</c:v>
                </c:pt>
                <c:pt idx="457">
                  <c:v>-46.949202183489888</c:v>
                </c:pt>
                <c:pt idx="458">
                  <c:v>-48.602225385361223</c:v>
                </c:pt>
                <c:pt idx="459">
                  <c:v>-50.260055781151372</c:v>
                </c:pt>
                <c:pt idx="460">
                  <c:v>-51.922907055539007</c:v>
                </c:pt>
                <c:pt idx="461">
                  <c:v>-53.591028179337314</c:v>
                </c:pt>
                <c:pt idx="462">
                  <c:v>-55.264703343130471</c:v>
                </c:pt>
                <c:pt idx="463">
                  <c:v>-56.944251651575406</c:v>
                </c:pt>
                <c:pt idx="464">
                  <c:v>-58.630026548090605</c:v>
                </c:pt>
                <c:pt idx="465">
                  <c:v>-60.322414936465144</c:v>
                </c:pt>
                <c:pt idx="466">
                  <c:v>-62.021835962555549</c:v>
                </c:pt>
                <c:pt idx="467">
                  <c:v>-63.728739415695159</c:v>
                </c:pt>
                <c:pt idx="468">
                  <c:v>-65.443603705919344</c:v>
                </c:pt>
                <c:pt idx="469">
                  <c:v>-67.166933369578828</c:v>
                </c:pt>
                <c:pt idx="470">
                  <c:v>-68.899256052620728</c:v>
                </c:pt>
                <c:pt idx="471">
                  <c:v>-70.641118917911299</c:v>
                </c:pt>
                <c:pt idx="472">
                  <c:v>-72.393084420683252</c:v>
                </c:pt>
                <c:pt idx="473">
                  <c:v>-74.155725394846755</c:v>
                </c:pt>
                <c:pt idx="474">
                  <c:v>-75.929619392829679</c:v>
                </c:pt>
                <c:pt idx="475">
                  <c:v>-77.715342223231048</c:v>
                </c:pt>
                <c:pt idx="476">
                  <c:v>-79.513460634396239</c:v>
                </c:pt>
                <c:pt idx="477">
                  <c:v>-81.324524098561</c:v>
                </c:pt>
                <c:pt idx="478">
                  <c:v>-83.149055661081007</c:v>
                </c:pt>
                <c:pt idx="479">
                  <c:v>-84.987541833077245</c:v>
                </c:pt>
                <c:pt idx="480">
                  <c:v>-86.84042152420092</c:v>
                </c:pt>
                <c:pt idx="481">
                  <c:v>-88.70807403574436</c:v>
                </c:pt>
                <c:pt idx="482">
                  <c:v>-90.590806163458197</c:v>
                </c:pt>
                <c:pt idx="483">
                  <c:v>-92.488838494472176</c:v>
                </c:pt>
                <c:pt idx="484">
                  <c:v>-94.402291023700016</c:v>
                </c:pt>
                <c:pt idx="485">
                  <c:v>-96.331168261701237</c:v>
                </c:pt>
                <c:pt idx="486">
                  <c:v>-98.275344057355937</c:v>
                </c:pt>
                <c:pt idx="487">
                  <c:v>-100.23454641352077</c:v>
                </c:pt>
                <c:pt idx="488">
                  <c:v>-102.20834263000717</c:v>
                </c:pt>
                <c:pt idx="489">
                  <c:v>-104.19612516302961</c:v>
                </c:pt>
                <c:pt idx="490">
                  <c:v>-106.19709864021037</c:v>
                </c:pt>
                <c:pt idx="491">
                  <c:v>-108.21026851121047</c:v>
                </c:pt>
                <c:pt idx="492">
                  <c:v>-110.23443184152092</c:v>
                </c:pt>
                <c:pt idx="493">
                  <c:v>-112.26817076615782</c:v>
                </c:pt>
                <c:pt idx="494">
                  <c:v>-114.30984910642428</c:v>
                </c:pt>
                <c:pt idx="495">
                  <c:v>-116.35761261273588</c:v>
                </c:pt>
                <c:pt idx="496">
                  <c:v>-118.40939322717691</c:v>
                </c:pt>
                <c:pt idx="497">
                  <c:v>-120.46291766018157</c:v>
                </c:pt>
                <c:pt idx="498">
                  <c:v>-122.51572044804703</c:v>
                </c:pt>
                <c:pt idx="499">
                  <c:v>-124.56516150589721</c:v>
                </c:pt>
                <c:pt idx="500">
                  <c:v>-126.60844802098818</c:v>
                </c:pt>
                <c:pt idx="501">
                  <c:v>-128.64266035292283</c:v>
                </c:pt>
                <c:pt idx="502">
                  <c:v>-130.66478143137405</c:v>
                </c:pt>
                <c:pt idx="503">
                  <c:v>-132.67172898013479</c:v>
                </c:pt>
                <c:pt idx="504">
                  <c:v>-134.66038976042068</c:v>
                </c:pt>
                <c:pt idx="505">
                  <c:v>-136.62765492666699</c:v>
                </c:pt>
                <c:pt idx="506">
                  <c:v>-138.57045553243555</c:v>
                </c:pt>
                <c:pt idx="507">
                  <c:v>-140.48579721693125</c:v>
                </c:pt>
                <c:pt idx="508">
                  <c:v>-142.37079314460453</c:v>
                </c:pt>
                <c:pt idx="509">
                  <c:v>-144.22269435794584</c:v>
                </c:pt>
                <c:pt idx="510">
                  <c:v>-146.03891682991824</c:v>
                </c:pt>
                <c:pt idx="511">
                  <c:v>-147.81706465777546</c:v>
                </c:pt>
                <c:pt idx="512">
                  <c:v>-149.55494901284135</c:v>
                </c:pt>
                <c:pt idx="513">
                  <c:v>-151.25060263927631</c:v>
                </c:pt>
                <c:pt idx="514">
                  <c:v>-152.90228986762304</c:v>
                </c:pt>
                <c:pt idx="515">
                  <c:v>-154.50851226639634</c:v>
                </c:pt>
                <c:pt idx="516">
                  <c:v>-156.06801018968713</c:v>
                </c:pt>
                <c:pt idx="517">
                  <c:v>-157.57976058593138</c:v>
                </c:pt>
                <c:pt idx="518">
                  <c:v>-159.04297151045239</c:v>
                </c:pt>
                <c:pt idx="519">
                  <c:v>-160.45707383230189</c:v>
                </c:pt>
                <c:pt idx="520">
                  <c:v>-161.8217106464208</c:v>
                </c:pt>
                <c:pt idx="521">
                  <c:v>-163.13672489875091</c:v>
                </c:pt>
                <c:pt idx="522">
                  <c:v>-164.40214570902421</c:v>
                </c:pt>
                <c:pt idx="523">
                  <c:v>-165.61817383826207</c:v>
                </c:pt>
                <c:pt idx="524">
                  <c:v>-166.78516670018615</c:v>
                </c:pt>
                <c:pt idx="525">
                  <c:v>-167.90362326200682</c:v>
                </c:pt>
                <c:pt idx="526">
                  <c:v>-168.9741691241104</c:v>
                </c:pt>
                <c:pt idx="527">
                  <c:v>-169.99754201293911</c:v>
                </c:pt>
                <c:pt idx="528">
                  <c:v>-170.97457786908822</c:v>
                </c:pt>
                <c:pt idx="529">
                  <c:v>-171.90619766493262</c:v>
                </c:pt>
                <c:pt idx="530">
                  <c:v>-172.79339504380212</c:v>
                </c:pt>
                <c:pt idx="531">
                  <c:v>-173.6372248364369</c:v>
                </c:pt>
                <c:pt idx="532">
                  <c:v>-174.4387924800713</c:v>
                </c:pt>
                <c:pt idx="533">
                  <c:v>-175.19924434092709</c:v>
                </c:pt>
                <c:pt idx="534">
                  <c:v>-175.91975892159229</c:v>
                </c:pt>
                <c:pt idx="535">
                  <c:v>-176.6015389202388</c:v>
                </c:pt>
                <c:pt idx="536">
                  <c:v>-177.24580409822437</c:v>
                </c:pt>
                <c:pt idx="537">
                  <c:v>-177.8537849057339</c:v>
                </c:pt>
                <c:pt idx="538">
                  <c:v>-178.42671681109238</c:v>
                </c:pt>
                <c:pt idx="539">
                  <c:v>-178.96583527771196</c:v>
                </c:pt>
                <c:pt idx="540">
                  <c:v>-179.47237133275749</c:v>
                </c:pt>
                <c:pt idx="541">
                  <c:v>-179.94754767312796</c:v>
                </c:pt>
              </c:numCache>
            </c:numRef>
          </c:yVal>
          <c:smooth val="1"/>
          <c:extLst>
            <c:ext xmlns:c16="http://schemas.microsoft.com/office/drawing/2014/chart" uri="{C3380CC4-5D6E-409C-BE32-E72D297353CC}">
              <c16:uniqueId val="{0000000B-2470-421C-8EF3-DF4BAC2DF802}"/>
            </c:ext>
          </c:extLst>
        </c:ser>
        <c:dLbls>
          <c:showLegendKey val="0"/>
          <c:showVal val="0"/>
          <c:showCatName val="0"/>
          <c:showSerName val="0"/>
          <c:showPercent val="0"/>
          <c:showBubbleSize val="0"/>
        </c:dLbls>
        <c:axId val="144838016"/>
        <c:axId val="144836096"/>
      </c:scatterChart>
      <c:valAx>
        <c:axId val="144369152"/>
        <c:scaling>
          <c:logBase val="10"/>
          <c:orientation val="minMax"/>
          <c:max val="2000000"/>
          <c:min val="1"/>
        </c:scaling>
        <c:delete val="0"/>
        <c:axPos val="b"/>
        <c:majorGridlines/>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144371072"/>
        <c:crosses val="autoZero"/>
        <c:crossBetween val="midCat"/>
      </c:valAx>
      <c:valAx>
        <c:axId val="144371072"/>
        <c:scaling>
          <c:orientation val="minMax"/>
          <c:max val="60"/>
          <c:min val="-6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144369152"/>
        <c:crosses val="autoZero"/>
        <c:crossBetween val="midCat"/>
        <c:majorUnit val="20"/>
        <c:minorUnit val="10"/>
      </c:valAx>
      <c:valAx>
        <c:axId val="14483609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144838016"/>
        <c:crosses val="max"/>
        <c:crossBetween val="midCat"/>
        <c:majorUnit val="90"/>
        <c:minorUnit val="45"/>
      </c:valAx>
      <c:valAx>
        <c:axId val="144838016"/>
        <c:scaling>
          <c:logBase val="10"/>
          <c:orientation val="minMax"/>
        </c:scaling>
        <c:delete val="1"/>
        <c:axPos val="b"/>
        <c:numFmt formatCode="0.00" sourceLinked="1"/>
        <c:majorTickMark val="out"/>
        <c:minorTickMark val="none"/>
        <c:tickLblPos val="nextTo"/>
        <c:crossAx val="14483609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Eff_vs_IOUT!$AT$7:$AT$157</c:f>
              <c:numCache>
                <c:formatCode>General</c:formatCode>
                <c:ptCount val="151"/>
                <c:pt idx="0">
                  <c:v>0</c:v>
                </c:pt>
                <c:pt idx="1">
                  <c:v>50.09514345545557</c:v>
                </c:pt>
                <c:pt idx="2">
                  <c:v>63.289844559656657</c:v>
                </c:pt>
                <c:pt idx="3">
                  <c:v>69.379429411235932</c:v>
                </c:pt>
                <c:pt idx="4">
                  <c:v>72.884580776730076</c:v>
                </c:pt>
                <c:pt idx="5">
                  <c:v>75.162037853841028</c:v>
                </c:pt>
                <c:pt idx="6">
                  <c:v>76.760359190701919</c:v>
                </c:pt>
                <c:pt idx="7">
                  <c:v>77.943682981669852</c:v>
                </c:pt>
                <c:pt idx="8">
                  <c:v>78.8549056409462</c:v>
                </c:pt>
                <c:pt idx="9">
                  <c:v>79.578082357965258</c:v>
                </c:pt>
                <c:pt idx="10">
                  <c:v>80.165885624052919</c:v>
                </c:pt>
                <c:pt idx="11">
                  <c:v>80.653000280174268</c:v>
                </c:pt>
                <c:pt idx="12">
                  <c:v>81.063197481461657</c:v>
                </c:pt>
                <c:pt idx="13">
                  <c:v>81.413313835095252</c:v>
                </c:pt>
                <c:pt idx="14">
                  <c:v>81.715607967677286</c:v>
                </c:pt>
                <c:pt idx="15">
                  <c:v>81.979217292778529</c:v>
                </c:pt>
                <c:pt idx="16">
                  <c:v>82.211091816773603</c:v>
                </c:pt>
                <c:pt idx="17">
                  <c:v>82.416611638945142</c:v>
                </c:pt>
                <c:pt idx="18">
                  <c:v>82.600006461018651</c:v>
                </c:pt>
                <c:pt idx="19">
                  <c:v>82.764647409285644</c:v>
                </c:pt>
                <c:pt idx="20">
                  <c:v>82.913254320647837</c:v>
                </c:pt>
                <c:pt idx="21">
                  <c:v>83.048045745770139</c:v>
                </c:pt>
                <c:pt idx="22">
                  <c:v>83.170849323672982</c:v>
                </c:pt>
                <c:pt idx="23">
                  <c:v>83.283184226212583</c:v>
                </c:pt>
                <c:pt idx="24">
                  <c:v>83.386323583957108</c:v>
                </c:pt>
                <c:pt idx="25">
                  <c:v>83.481342343485011</c:v>
                </c:pt>
                <c:pt idx="26">
                  <c:v>83.569154373943718</c:v>
                </c:pt>
                <c:pt idx="27">
                  <c:v>83.650541538577258</c:v>
                </c:pt>
                <c:pt idx="28">
                  <c:v>83.726176690260957</c:v>
                </c:pt>
                <c:pt idx="29">
                  <c:v>83.79664202260372</c:v>
                </c:pt>
                <c:pt idx="30">
                  <c:v>83.862443835274519</c:v>
                </c:pt>
                <c:pt idx="31">
                  <c:v>83.924024505134341</c:v>
                </c:pt>
                <c:pt idx="32">
                  <c:v>83.981772261159946</c:v>
                </c:pt>
                <c:pt idx="33">
                  <c:v>84.036029219235218</c:v>
                </c:pt>
                <c:pt idx="34">
                  <c:v>84.08709802776842</c:v>
                </c:pt>
                <c:pt idx="35">
                  <c:v>84.135247396469381</c:v>
                </c:pt>
                <c:pt idx="36">
                  <c:v>84.180716721270755</c:v>
                </c:pt>
                <c:pt idx="37">
                  <c:v>84.223719973192885</c:v>
                </c:pt>
                <c:pt idx="38">
                  <c:v>84.264448984271638</c:v>
                </c:pt>
                <c:pt idx="39">
                  <c:v>84.303076236848824</c:v>
                </c:pt>
                <c:pt idx="40">
                  <c:v>84.3397572416347</c:v>
                </c:pt>
                <c:pt idx="41">
                  <c:v>84.374632573568519</c:v>
                </c:pt>
                <c:pt idx="42">
                  <c:v>84.407829621573597</c:v>
                </c:pt>
                <c:pt idx="43">
                  <c:v>84.43946409803435</c:v>
                </c:pt>
                <c:pt idx="44">
                  <c:v>84.469641345622748</c:v>
                </c:pt>
                <c:pt idx="45">
                  <c:v>84.498457472515</c:v>
                </c:pt>
                <c:pt idx="46">
                  <c:v>84.52600034172228</c:v>
                </c:pt>
                <c:pt idx="47">
                  <c:v>84.552350435945385</c:v>
                </c:pt>
                <c:pt idx="48">
                  <c:v>84.530945186897029</c:v>
                </c:pt>
                <c:pt idx="49">
                  <c:v>84.554337077692807</c:v>
                </c:pt>
                <c:pt idx="50">
                  <c:v>84.576702014184249</c:v>
                </c:pt>
                <c:pt idx="51">
                  <c:v>84.598099557103069</c:v>
                </c:pt>
                <c:pt idx="52">
                  <c:v>84.618584749418019</c:v>
                </c:pt>
                <c:pt idx="53">
                  <c:v>84.63820853671119</c:v>
                </c:pt>
                <c:pt idx="54">
                  <c:v>84.657018141473145</c:v>
                </c:pt>
                <c:pt idx="55">
                  <c:v>84.675057397103927</c:v>
                </c:pt>
                <c:pt idx="56">
                  <c:v>84.69236704659177</c:v>
                </c:pt>
                <c:pt idx="57">
                  <c:v>84.70898501015202</c:v>
                </c:pt>
                <c:pt idx="58">
                  <c:v>84.724946625525561</c:v>
                </c:pt>
                <c:pt idx="59">
                  <c:v>84.740284864140762</c:v>
                </c:pt>
                <c:pt idx="60">
                  <c:v>84.755030525920745</c:v>
                </c:pt>
                <c:pt idx="61">
                  <c:v>84.769212415157185</c:v>
                </c:pt>
                <c:pt idx="62">
                  <c:v>84.782857499563519</c:v>
                </c:pt>
                <c:pt idx="63">
                  <c:v>84.7959910543549</c:v>
                </c:pt>
                <c:pt idx="64">
                  <c:v>84.808636792973758</c:v>
                </c:pt>
                <c:pt idx="65">
                  <c:v>84.820816985883468</c:v>
                </c:pt>
                <c:pt idx="66">
                  <c:v>84.832552568681436</c:v>
                </c:pt>
                <c:pt idx="67">
                  <c:v>84.843863240635315</c:v>
                </c:pt>
                <c:pt idx="68">
                  <c:v>84.854767554617922</c:v>
                </c:pt>
                <c:pt idx="69">
                  <c:v>84.865282999304171</c:v>
                </c:pt>
                <c:pt idx="70">
                  <c:v>84.875426074395492</c:v>
                </c:pt>
                <c:pt idx="71">
                  <c:v>84.885212359552625</c:v>
                </c:pt>
                <c:pt idx="72">
                  <c:v>84.894656577641911</c:v>
                </c:pt>
                <c:pt idx="73">
                  <c:v>84.903772652835087</c:v>
                </c:pt>
                <c:pt idx="74">
                  <c:v>84.912573764044581</c:v>
                </c:pt>
                <c:pt idx="75">
                  <c:v>84.92107239412546</c:v>
                </c:pt>
                <c:pt idx="76">
                  <c:v>84.929280375230249</c:v>
                </c:pt>
                <c:pt idx="77">
                  <c:v>84.937208930662976</c:v>
                </c:pt>
                <c:pt idx="78">
                  <c:v>84.94486871354367</c:v>
                </c:pt>
                <c:pt idx="79">
                  <c:v>84.952269842563439</c:v>
                </c:pt>
                <c:pt idx="80">
                  <c:v>84.959421935082347</c:v>
                </c:pt>
                <c:pt idx="81">
                  <c:v>84.966334137797588</c:v>
                </c:pt>
                <c:pt idx="82">
                  <c:v>84.973015155187525</c:v>
                </c:pt>
                <c:pt idx="83">
                  <c:v>84.979473275917684</c:v>
                </c:pt>
                <c:pt idx="84">
                  <c:v>84.985716397376876</c:v>
                </c:pt>
                <c:pt idx="85">
                  <c:v>84.991752048496267</c:v>
                </c:pt>
                <c:pt idx="86">
                  <c:v>84.997587410989823</c:v>
                </c:pt>
                <c:pt idx="87">
                  <c:v>85.003229339142251</c:v>
                </c:pt>
                <c:pt idx="88">
                  <c:v>85.008684378258863</c:v>
                </c:pt>
                <c:pt idx="89">
                  <c:v>85.013958781881897</c:v>
                </c:pt>
                <c:pt idx="90">
                  <c:v>85.019058527868253</c:v>
                </c:pt>
                <c:pt idx="91">
                  <c:v>85.023989333415756</c:v>
                </c:pt>
                <c:pt idx="92">
                  <c:v>85.028756669117172</c:v>
                </c:pt>
                <c:pt idx="93">
                  <c:v>85.033365772114635</c:v>
                </c:pt>
                <c:pt idx="94">
                  <c:v>85.037821658420881</c:v>
                </c:pt>
                <c:pt idx="95">
                  <c:v>85.042129134468354</c:v>
                </c:pt>
                <c:pt idx="96">
                  <c:v>85.046292807941953</c:v>
                </c:pt>
                <c:pt idx="97">
                  <c:v>85.050317097946717</c:v>
                </c:pt>
                <c:pt idx="98">
                  <c:v>85.054206244557619</c:v>
                </c:pt>
                <c:pt idx="99">
                  <c:v>85.057964317794927</c:v>
                </c:pt>
                <c:pt idx="100">
                  <c:v>85.061595226064924</c:v>
                </c:pt>
                <c:pt idx="101">
                  <c:v>85.065102724102758</c:v>
                </c:pt>
                <c:pt idx="102">
                  <c:v>85.068490420451553</c:v>
                </c:pt>
                <c:pt idx="103">
                  <c:v>85.071761784508809</c:v>
                </c:pt>
                <c:pt idx="104">
                  <c:v>85.07492015316906</c:v>
                </c:pt>
                <c:pt idx="105">
                  <c:v>85.077968737089975</c:v>
                </c:pt>
                <c:pt idx="106">
                  <c:v>85.080910626605572</c:v>
                </c:pt>
                <c:pt idx="107">
                  <c:v>85.083748797310804</c:v>
                </c:pt>
                <c:pt idx="108">
                  <c:v>85.086486115337408</c:v>
                </c:pt>
                <c:pt idx="109">
                  <c:v>85.08912534234176</c:v>
                </c:pt>
                <c:pt idx="110">
                  <c:v>85.09166914022201</c:v>
                </c:pt>
                <c:pt idx="111">
                  <c:v>85.094120075582353</c:v>
                </c:pt>
                <c:pt idx="112">
                  <c:v>85.096480623959337</c:v>
                </c:pt>
                <c:pt idx="113">
                  <c:v>85.098753173825529</c:v>
                </c:pt>
                <c:pt idx="114">
                  <c:v>85.100940030383512</c:v>
                </c:pt>
                <c:pt idx="115">
                  <c:v>85.103043419163427</c:v>
                </c:pt>
                <c:pt idx="116">
                  <c:v>85.105065489435489</c:v>
                </c:pt>
                <c:pt idx="117">
                  <c:v>85.107008317448617</c:v>
                </c:pt>
                <c:pt idx="118">
                  <c:v>85.108873909505434</c:v>
                </c:pt>
                <c:pt idx="119">
                  <c:v>85.110664204883093</c:v>
                </c:pt>
                <c:pt idx="120">
                  <c:v>85.112381078609076</c:v>
                </c:pt>
                <c:pt idx="121">
                  <c:v>85.114026344100097</c:v>
                </c:pt>
                <c:pt idx="122">
                  <c:v>85.115601755671989</c:v>
                </c:pt>
                <c:pt idx="123">
                  <c:v>85.117109010927948</c:v>
                </c:pt>
                <c:pt idx="124">
                  <c:v>85.118549753031843</c:v>
                </c:pt>
                <c:pt idx="125">
                  <c:v>85.119925572873086</c:v>
                </c:pt>
                <c:pt idx="126">
                  <c:v>85.121238011128952</c:v>
                </c:pt>
                <c:pt idx="127">
                  <c:v>85.122488560230124</c:v>
                </c:pt>
                <c:pt idx="128">
                  <c:v>85.123678666234483</c:v>
                </c:pt>
                <c:pt idx="129">
                  <c:v>85.124809730614402</c:v>
                </c:pt>
                <c:pt idx="130">
                  <c:v>85.125883111961926</c:v>
                </c:pt>
                <c:pt idx="131">
                  <c:v>85.126900127616238</c:v>
                </c:pt>
                <c:pt idx="132">
                  <c:v>85.127862055217705</c:v>
                </c:pt>
                <c:pt idx="133">
                  <c:v>85.12877013419201</c:v>
                </c:pt>
                <c:pt idx="134">
                  <c:v>85.129625567168432</c:v>
                </c:pt>
                <c:pt idx="135">
                  <c:v>85.130429521335159</c:v>
                </c:pt>
                <c:pt idx="136">
                  <c:v>85.131183129735362</c:v>
                </c:pt>
                <c:pt idx="137">
                  <c:v>85.131887492506706</c:v>
                </c:pt>
                <c:pt idx="138">
                  <c:v>85.132543678067208</c:v>
                </c:pt>
                <c:pt idx="139">
                  <c:v>85.13315272425028</c:v>
                </c:pt>
                <c:pt idx="140">
                  <c:v>85.133715639391355</c:v>
                </c:pt>
                <c:pt idx="141">
                  <c:v>85.134233403368441</c:v>
                </c:pt>
                <c:pt idx="142">
                  <c:v>85.134706968598977</c:v>
                </c:pt>
                <c:pt idx="143">
                  <c:v>85.135137260995165</c:v>
                </c:pt>
                <c:pt idx="144">
                  <c:v>85.13552518087954</c:v>
                </c:pt>
                <c:pt idx="145">
                  <c:v>85.135871603862938</c:v>
                </c:pt>
                <c:pt idx="146">
                  <c:v>85.136177381686593</c:v>
                </c:pt>
                <c:pt idx="147">
                  <c:v>85.136443343029939</c:v>
                </c:pt>
                <c:pt idx="148">
                  <c:v>85.136670294285921</c:v>
                </c:pt>
                <c:pt idx="149">
                  <c:v>85.136859020305138</c:v>
                </c:pt>
                <c:pt idx="150">
                  <c:v>85.137010285110478</c:v>
                </c:pt>
              </c:numCache>
            </c:numRef>
          </c:yVal>
          <c:smooth val="0"/>
          <c:extLst>
            <c:ext xmlns:c16="http://schemas.microsoft.com/office/drawing/2014/chart" uri="{C3380CC4-5D6E-409C-BE32-E72D297353CC}">
              <c16:uniqueId val="{00000000-EBB2-49C9-A014-1F538461E4EA}"/>
            </c:ext>
          </c:extLst>
        </c:ser>
        <c:dLbls>
          <c:showLegendKey val="0"/>
          <c:showVal val="0"/>
          <c:showCatName val="0"/>
          <c:showSerName val="0"/>
          <c:showPercent val="0"/>
          <c:showBubbleSize val="0"/>
        </c:dLbls>
        <c:axId val="144893056"/>
        <c:axId val="1448945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0</c:v>
                </c:pt>
                <c:pt idx="1">
                  <c:v>0.32659322512445021</c:v>
                </c:pt>
                <c:pt idx="2">
                  <c:v>0.65318645024890043</c:v>
                </c:pt>
                <c:pt idx="3">
                  <c:v>0.97977967537335064</c:v>
                </c:pt>
                <c:pt idx="4">
                  <c:v>1.3063729004978009</c:v>
                </c:pt>
                <c:pt idx="5">
                  <c:v>1.632966125622251</c:v>
                </c:pt>
                <c:pt idx="6">
                  <c:v>1.9595593507467013</c:v>
                </c:pt>
                <c:pt idx="7">
                  <c:v>2.2861525758711516</c:v>
                </c:pt>
                <c:pt idx="8">
                  <c:v>2.6127458009956017</c:v>
                </c:pt>
                <c:pt idx="9">
                  <c:v>2.9393390261200509</c:v>
                </c:pt>
                <c:pt idx="10">
                  <c:v>3.2659322512445019</c:v>
                </c:pt>
                <c:pt idx="11">
                  <c:v>3.5925254763689516</c:v>
                </c:pt>
                <c:pt idx="12">
                  <c:v>3.9191187014934026</c:v>
                </c:pt>
                <c:pt idx="13">
                  <c:v>4.2457119266178518</c:v>
                </c:pt>
                <c:pt idx="14">
                  <c:v>4.5723051517423032</c:v>
                </c:pt>
                <c:pt idx="15">
                  <c:v>4.898898376866752</c:v>
                </c:pt>
                <c:pt idx="16">
                  <c:v>5.2254916019912034</c:v>
                </c:pt>
                <c:pt idx="17">
                  <c:v>5.552084827115654</c:v>
                </c:pt>
                <c:pt idx="18">
                  <c:v>5.8786780522401019</c:v>
                </c:pt>
                <c:pt idx="19">
                  <c:v>6.2052712773645551</c:v>
                </c:pt>
                <c:pt idx="20">
                  <c:v>6.5318645024890039</c:v>
                </c:pt>
                <c:pt idx="21">
                  <c:v>6.8584577276134544</c:v>
                </c:pt>
                <c:pt idx="22">
                  <c:v>7.1850509527379032</c:v>
                </c:pt>
                <c:pt idx="23">
                  <c:v>7.5116441778623537</c:v>
                </c:pt>
                <c:pt idx="24">
                  <c:v>7.8382374029868052</c:v>
                </c:pt>
                <c:pt idx="25">
                  <c:v>8.1648306281112539</c:v>
                </c:pt>
                <c:pt idx="26">
                  <c:v>8.4914238532357036</c:v>
                </c:pt>
                <c:pt idx="27">
                  <c:v>8.8180170783601568</c:v>
                </c:pt>
                <c:pt idx="28">
                  <c:v>9.1446103034846065</c:v>
                </c:pt>
                <c:pt idx="29">
                  <c:v>9.4712035286090543</c:v>
                </c:pt>
                <c:pt idx="30">
                  <c:v>9.797796753733504</c:v>
                </c:pt>
                <c:pt idx="31">
                  <c:v>10.124389978857957</c:v>
                </c:pt>
                <c:pt idx="32">
                  <c:v>10.450983203982407</c:v>
                </c:pt>
                <c:pt idx="33">
                  <c:v>10.777576429106857</c:v>
                </c:pt>
                <c:pt idx="34">
                  <c:v>11.104169654231308</c:v>
                </c:pt>
                <c:pt idx="35">
                  <c:v>11.430762879355758</c:v>
                </c:pt>
                <c:pt idx="36">
                  <c:v>11.757356104480204</c:v>
                </c:pt>
                <c:pt idx="37">
                  <c:v>12.083949329604655</c:v>
                </c:pt>
                <c:pt idx="38">
                  <c:v>12.41054255472911</c:v>
                </c:pt>
                <c:pt idx="39">
                  <c:v>12.737135779853558</c:v>
                </c:pt>
                <c:pt idx="40">
                  <c:v>13.063729004978008</c:v>
                </c:pt>
                <c:pt idx="41">
                  <c:v>13.390322230102459</c:v>
                </c:pt>
                <c:pt idx="42">
                  <c:v>13.716915455226909</c:v>
                </c:pt>
                <c:pt idx="43">
                  <c:v>14.043508680351357</c:v>
                </c:pt>
                <c:pt idx="44">
                  <c:v>14.370101905475806</c:v>
                </c:pt>
                <c:pt idx="45">
                  <c:v>14.69669513060026</c:v>
                </c:pt>
                <c:pt idx="46">
                  <c:v>15.023288355724707</c:v>
                </c:pt>
                <c:pt idx="47">
                  <c:v>15.349881580849161</c:v>
                </c:pt>
                <c:pt idx="48">
                  <c:v>15.67647480597361</c:v>
                </c:pt>
                <c:pt idx="49">
                  <c:v>16.00306803109806</c:v>
                </c:pt>
                <c:pt idx="50">
                  <c:v>16.329661256222508</c:v>
                </c:pt>
                <c:pt idx="51">
                  <c:v>16.656254481346963</c:v>
                </c:pt>
                <c:pt idx="52">
                  <c:v>16.982847706471407</c:v>
                </c:pt>
                <c:pt idx="53">
                  <c:v>17.309440931595859</c:v>
                </c:pt>
                <c:pt idx="54">
                  <c:v>17.636034156720314</c:v>
                </c:pt>
                <c:pt idx="55">
                  <c:v>17.962627381844761</c:v>
                </c:pt>
                <c:pt idx="56">
                  <c:v>18.289220606969213</c:v>
                </c:pt>
                <c:pt idx="57">
                  <c:v>18.615813832093664</c:v>
                </c:pt>
                <c:pt idx="58">
                  <c:v>18.942407057218109</c:v>
                </c:pt>
                <c:pt idx="59">
                  <c:v>19.26900028234256</c:v>
                </c:pt>
                <c:pt idx="60">
                  <c:v>19.595593507467008</c:v>
                </c:pt>
                <c:pt idx="61">
                  <c:v>19.922186732591459</c:v>
                </c:pt>
                <c:pt idx="62">
                  <c:v>20.248779957715914</c:v>
                </c:pt>
                <c:pt idx="63">
                  <c:v>20.575373182840359</c:v>
                </c:pt>
                <c:pt idx="64">
                  <c:v>20.901966407964814</c:v>
                </c:pt>
                <c:pt idx="65">
                  <c:v>21.228559633089262</c:v>
                </c:pt>
                <c:pt idx="66">
                  <c:v>21.555152858213713</c:v>
                </c:pt>
                <c:pt idx="67">
                  <c:v>21.881746083338161</c:v>
                </c:pt>
                <c:pt idx="68">
                  <c:v>22.208339308462616</c:v>
                </c:pt>
                <c:pt idx="69">
                  <c:v>22.534932533587067</c:v>
                </c:pt>
                <c:pt idx="70">
                  <c:v>22.861525758711515</c:v>
                </c:pt>
                <c:pt idx="71">
                  <c:v>23.188118983835963</c:v>
                </c:pt>
                <c:pt idx="72">
                  <c:v>23.514712208960407</c:v>
                </c:pt>
                <c:pt idx="73">
                  <c:v>23.841305434084866</c:v>
                </c:pt>
                <c:pt idx="74">
                  <c:v>24.16789865920931</c:v>
                </c:pt>
                <c:pt idx="75">
                  <c:v>24.494491884333762</c:v>
                </c:pt>
                <c:pt idx="76">
                  <c:v>24.82108510945822</c:v>
                </c:pt>
                <c:pt idx="77">
                  <c:v>25.147678334582665</c:v>
                </c:pt>
                <c:pt idx="78">
                  <c:v>25.474271559707116</c:v>
                </c:pt>
                <c:pt idx="79">
                  <c:v>25.800864784831564</c:v>
                </c:pt>
                <c:pt idx="80">
                  <c:v>26.127458009956015</c:v>
                </c:pt>
                <c:pt idx="81">
                  <c:v>26.45405123508046</c:v>
                </c:pt>
                <c:pt idx="82">
                  <c:v>26.780644460204918</c:v>
                </c:pt>
                <c:pt idx="83">
                  <c:v>27.107237685329366</c:v>
                </c:pt>
                <c:pt idx="84">
                  <c:v>27.433830910453818</c:v>
                </c:pt>
                <c:pt idx="85">
                  <c:v>27.760424135578269</c:v>
                </c:pt>
                <c:pt idx="86">
                  <c:v>28.087017360702713</c:v>
                </c:pt>
                <c:pt idx="87">
                  <c:v>28.413610585827168</c:v>
                </c:pt>
                <c:pt idx="88">
                  <c:v>28.740203810951613</c:v>
                </c:pt>
                <c:pt idx="89">
                  <c:v>29.066797036076064</c:v>
                </c:pt>
                <c:pt idx="90">
                  <c:v>29.393390261200519</c:v>
                </c:pt>
                <c:pt idx="91">
                  <c:v>29.719983486324967</c:v>
                </c:pt>
                <c:pt idx="92">
                  <c:v>30.046576711449415</c:v>
                </c:pt>
                <c:pt idx="93">
                  <c:v>30.373169936573873</c:v>
                </c:pt>
                <c:pt idx="94">
                  <c:v>30.699763161698321</c:v>
                </c:pt>
                <c:pt idx="95">
                  <c:v>31.026356386822769</c:v>
                </c:pt>
                <c:pt idx="96">
                  <c:v>31.352949611947221</c:v>
                </c:pt>
                <c:pt idx="97">
                  <c:v>31.679542837071669</c:v>
                </c:pt>
                <c:pt idx="98">
                  <c:v>32.00613606219612</c:v>
                </c:pt>
                <c:pt idx="99">
                  <c:v>32.332729287320568</c:v>
                </c:pt>
                <c:pt idx="100">
                  <c:v>32.659322512445016</c:v>
                </c:pt>
                <c:pt idx="101">
                  <c:v>32.985915737569464</c:v>
                </c:pt>
                <c:pt idx="102">
                  <c:v>33.312508962693926</c:v>
                </c:pt>
                <c:pt idx="103">
                  <c:v>33.639102187818374</c:v>
                </c:pt>
                <c:pt idx="104">
                  <c:v>33.965695412942814</c:v>
                </c:pt>
                <c:pt idx="105">
                  <c:v>34.292288638067276</c:v>
                </c:pt>
                <c:pt idx="106">
                  <c:v>34.618881863191717</c:v>
                </c:pt>
                <c:pt idx="107">
                  <c:v>34.945475088316172</c:v>
                </c:pt>
                <c:pt idx="108">
                  <c:v>35.272068313440627</c:v>
                </c:pt>
                <c:pt idx="109">
                  <c:v>35.598661538565075</c:v>
                </c:pt>
                <c:pt idx="110">
                  <c:v>35.925254763689523</c:v>
                </c:pt>
                <c:pt idx="111">
                  <c:v>36.251847988813971</c:v>
                </c:pt>
                <c:pt idx="112">
                  <c:v>36.578441213938426</c:v>
                </c:pt>
                <c:pt idx="113">
                  <c:v>36.905034439062874</c:v>
                </c:pt>
                <c:pt idx="114">
                  <c:v>37.231627664187329</c:v>
                </c:pt>
                <c:pt idx="115">
                  <c:v>37.558220889311777</c:v>
                </c:pt>
                <c:pt idx="116">
                  <c:v>37.884814114436217</c:v>
                </c:pt>
                <c:pt idx="117">
                  <c:v>38.211407339560672</c:v>
                </c:pt>
                <c:pt idx="118">
                  <c:v>38.53800056468512</c:v>
                </c:pt>
                <c:pt idx="119">
                  <c:v>38.864593789809568</c:v>
                </c:pt>
                <c:pt idx="120">
                  <c:v>39.191187014934016</c:v>
                </c:pt>
                <c:pt idx="121">
                  <c:v>39.517780240058478</c:v>
                </c:pt>
                <c:pt idx="122">
                  <c:v>39.844373465182919</c:v>
                </c:pt>
                <c:pt idx="123">
                  <c:v>40.17096669030736</c:v>
                </c:pt>
                <c:pt idx="124">
                  <c:v>40.497559915431829</c:v>
                </c:pt>
                <c:pt idx="125">
                  <c:v>40.824153140556277</c:v>
                </c:pt>
                <c:pt idx="126">
                  <c:v>41.150746365680718</c:v>
                </c:pt>
                <c:pt idx="127">
                  <c:v>41.477339590805173</c:v>
                </c:pt>
                <c:pt idx="128">
                  <c:v>41.803932815929628</c:v>
                </c:pt>
                <c:pt idx="129">
                  <c:v>42.130526041054068</c:v>
                </c:pt>
                <c:pt idx="130">
                  <c:v>42.457119266178523</c:v>
                </c:pt>
                <c:pt idx="131">
                  <c:v>42.783712491302978</c:v>
                </c:pt>
                <c:pt idx="132">
                  <c:v>43.110305716427426</c:v>
                </c:pt>
                <c:pt idx="133">
                  <c:v>43.436898941551874</c:v>
                </c:pt>
                <c:pt idx="134">
                  <c:v>43.763492166676322</c:v>
                </c:pt>
                <c:pt idx="135">
                  <c:v>44.090085391800777</c:v>
                </c:pt>
                <c:pt idx="136">
                  <c:v>44.416678616925232</c:v>
                </c:pt>
                <c:pt idx="137">
                  <c:v>44.74327184204968</c:v>
                </c:pt>
                <c:pt idx="138">
                  <c:v>45.069865067174135</c:v>
                </c:pt>
                <c:pt idx="139">
                  <c:v>45.396458292298583</c:v>
                </c:pt>
                <c:pt idx="140">
                  <c:v>45.723051517423031</c:v>
                </c:pt>
                <c:pt idx="141">
                  <c:v>46.049644742547471</c:v>
                </c:pt>
                <c:pt idx="142">
                  <c:v>46.376237967671926</c:v>
                </c:pt>
                <c:pt idx="143">
                  <c:v>46.702831192796381</c:v>
                </c:pt>
                <c:pt idx="144">
                  <c:v>47.029424417920815</c:v>
                </c:pt>
                <c:pt idx="145">
                  <c:v>47.356017643045284</c:v>
                </c:pt>
                <c:pt idx="146">
                  <c:v>47.682610868169732</c:v>
                </c:pt>
                <c:pt idx="147">
                  <c:v>48.009204093294166</c:v>
                </c:pt>
                <c:pt idx="148">
                  <c:v>48.335797318418621</c:v>
                </c:pt>
                <c:pt idx="149">
                  <c:v>48.662390543543083</c:v>
                </c:pt>
                <c:pt idx="150">
                  <c:v>48.988983768667524</c:v>
                </c:pt>
              </c:numCache>
            </c:numRef>
          </c:yVal>
          <c:smooth val="1"/>
          <c:extLst>
            <c:ext xmlns:c16="http://schemas.microsoft.com/office/drawing/2014/chart" uri="{C3380CC4-5D6E-409C-BE32-E72D297353CC}">
              <c16:uniqueId val="{00000001-EBB2-49C9-A014-1F538461E4EA}"/>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Eff_vs_IOUT!$AN$7:$AN$157</c:f>
              <c:numCache>
                <c:formatCode>General</c:formatCode>
                <c:ptCount val="151"/>
                <c:pt idx="0">
                  <c:v>1.1897599999999999</c:v>
                </c:pt>
                <c:pt idx="1">
                  <c:v>1.2129599999999998</c:v>
                </c:pt>
                <c:pt idx="2">
                  <c:v>1.2361599999999999</c:v>
                </c:pt>
                <c:pt idx="3">
                  <c:v>1.25936</c:v>
                </c:pt>
                <c:pt idx="4">
                  <c:v>1.2825599999999999</c:v>
                </c:pt>
                <c:pt idx="5">
                  <c:v>1.3057599999999998</c:v>
                </c:pt>
                <c:pt idx="6">
                  <c:v>1.3289599999999999</c:v>
                </c:pt>
                <c:pt idx="7">
                  <c:v>1.35216</c:v>
                </c:pt>
                <c:pt idx="8">
                  <c:v>1.3753599999999999</c:v>
                </c:pt>
                <c:pt idx="9">
                  <c:v>1.3985599999999998</c:v>
                </c:pt>
                <c:pt idx="10">
                  <c:v>1.4217599999999999</c:v>
                </c:pt>
                <c:pt idx="11">
                  <c:v>1.44496</c:v>
                </c:pt>
                <c:pt idx="12">
                  <c:v>1.4681599999999999</c:v>
                </c:pt>
                <c:pt idx="13">
                  <c:v>1.4913599999999998</c:v>
                </c:pt>
                <c:pt idx="14">
                  <c:v>1.5145599999999999</c:v>
                </c:pt>
                <c:pt idx="15">
                  <c:v>1.53776</c:v>
                </c:pt>
                <c:pt idx="16">
                  <c:v>1.5609599999999999</c:v>
                </c:pt>
                <c:pt idx="17">
                  <c:v>1.58416</c:v>
                </c:pt>
                <c:pt idx="18">
                  <c:v>1.6073599999999999</c:v>
                </c:pt>
                <c:pt idx="19">
                  <c:v>1.63056</c:v>
                </c:pt>
                <c:pt idx="20">
                  <c:v>1.6537599999999999</c:v>
                </c:pt>
                <c:pt idx="21">
                  <c:v>1.6769599999999998</c:v>
                </c:pt>
                <c:pt idx="22">
                  <c:v>1.7001599999999999</c:v>
                </c:pt>
                <c:pt idx="23">
                  <c:v>1.72336</c:v>
                </c:pt>
                <c:pt idx="24">
                  <c:v>1.7465599999999999</c:v>
                </c:pt>
                <c:pt idx="25">
                  <c:v>1.7697599999999998</c:v>
                </c:pt>
                <c:pt idx="26">
                  <c:v>1.7929599999999999</c:v>
                </c:pt>
                <c:pt idx="27">
                  <c:v>1.81616</c:v>
                </c:pt>
                <c:pt idx="28">
                  <c:v>1.8393600000000001</c:v>
                </c:pt>
                <c:pt idx="29">
                  <c:v>1.8625599999999998</c:v>
                </c:pt>
                <c:pt idx="30">
                  <c:v>1.8857599999999999</c:v>
                </c:pt>
                <c:pt idx="31">
                  <c:v>1.90896</c:v>
                </c:pt>
                <c:pt idx="32">
                  <c:v>1.9321599999999999</c:v>
                </c:pt>
                <c:pt idx="33">
                  <c:v>1.9553599999999998</c:v>
                </c:pt>
                <c:pt idx="34">
                  <c:v>1.9785599999999999</c:v>
                </c:pt>
                <c:pt idx="35">
                  <c:v>2.00176</c:v>
                </c:pt>
                <c:pt idx="36">
                  <c:v>2.0249600000000001</c:v>
                </c:pt>
                <c:pt idx="37">
                  <c:v>2.0481599999999998</c:v>
                </c:pt>
                <c:pt idx="38">
                  <c:v>2.0713599999999999</c:v>
                </c:pt>
                <c:pt idx="39">
                  <c:v>2.09456</c:v>
                </c:pt>
                <c:pt idx="40">
                  <c:v>2.1177599999999996</c:v>
                </c:pt>
                <c:pt idx="41">
                  <c:v>2.1409599999999998</c:v>
                </c:pt>
                <c:pt idx="42">
                  <c:v>2.1641599999999999</c:v>
                </c:pt>
                <c:pt idx="43">
                  <c:v>2.18736</c:v>
                </c:pt>
                <c:pt idx="44">
                  <c:v>2.2105600000000001</c:v>
                </c:pt>
                <c:pt idx="45">
                  <c:v>2.2337600000000002</c:v>
                </c:pt>
                <c:pt idx="46">
                  <c:v>2.2569599999999999</c:v>
                </c:pt>
                <c:pt idx="47">
                  <c:v>2.28016</c:v>
                </c:pt>
                <c:pt idx="48">
                  <c:v>2.3033599999999996</c:v>
                </c:pt>
                <c:pt idx="49">
                  <c:v>2.3265599999999997</c:v>
                </c:pt>
                <c:pt idx="50">
                  <c:v>2.3497599999999998</c:v>
                </c:pt>
                <c:pt idx="51">
                  <c:v>2.37296</c:v>
                </c:pt>
                <c:pt idx="52">
                  <c:v>2.3961600000000001</c:v>
                </c:pt>
                <c:pt idx="53">
                  <c:v>2.4193600000000002</c:v>
                </c:pt>
                <c:pt idx="54">
                  <c:v>2.4425599999999998</c:v>
                </c:pt>
                <c:pt idx="55">
                  <c:v>2.46576</c:v>
                </c:pt>
                <c:pt idx="56">
                  <c:v>2.4889600000000001</c:v>
                </c:pt>
                <c:pt idx="57">
                  <c:v>2.5121599999999997</c:v>
                </c:pt>
                <c:pt idx="58">
                  <c:v>2.5353599999999998</c:v>
                </c:pt>
                <c:pt idx="59">
                  <c:v>2.5585599999999999</c:v>
                </c:pt>
                <c:pt idx="60">
                  <c:v>2.5817600000000001</c:v>
                </c:pt>
                <c:pt idx="61">
                  <c:v>2.6049599999999997</c:v>
                </c:pt>
                <c:pt idx="62">
                  <c:v>2.6281599999999998</c:v>
                </c:pt>
                <c:pt idx="63">
                  <c:v>2.6513599999999999</c:v>
                </c:pt>
                <c:pt idx="64">
                  <c:v>2.6745599999999996</c:v>
                </c:pt>
                <c:pt idx="65">
                  <c:v>2.6977599999999997</c:v>
                </c:pt>
                <c:pt idx="66">
                  <c:v>2.7209599999999998</c:v>
                </c:pt>
                <c:pt idx="67">
                  <c:v>2.7441599999999999</c:v>
                </c:pt>
                <c:pt idx="68">
                  <c:v>2.76736</c:v>
                </c:pt>
                <c:pt idx="69">
                  <c:v>2.7905600000000002</c:v>
                </c:pt>
                <c:pt idx="70">
                  <c:v>2.8137600000000003</c:v>
                </c:pt>
                <c:pt idx="71">
                  <c:v>2.8369599999999995</c:v>
                </c:pt>
                <c:pt idx="72">
                  <c:v>2.8601599999999996</c:v>
                </c:pt>
                <c:pt idx="73">
                  <c:v>2.8833599999999997</c:v>
                </c:pt>
                <c:pt idx="74">
                  <c:v>2.9065599999999998</c:v>
                </c:pt>
                <c:pt idx="75">
                  <c:v>2.9297599999999999</c:v>
                </c:pt>
                <c:pt idx="76">
                  <c:v>2.95296</c:v>
                </c:pt>
                <c:pt idx="77">
                  <c:v>2.9761600000000001</c:v>
                </c:pt>
                <c:pt idx="78">
                  <c:v>2.9993599999999998</c:v>
                </c:pt>
                <c:pt idx="79">
                  <c:v>3.0225599999999999</c:v>
                </c:pt>
                <c:pt idx="80">
                  <c:v>3.0457599999999996</c:v>
                </c:pt>
                <c:pt idx="81">
                  <c:v>3.0689599999999997</c:v>
                </c:pt>
                <c:pt idx="82">
                  <c:v>3.0921599999999998</c:v>
                </c:pt>
                <c:pt idx="83">
                  <c:v>3.1153599999999999</c:v>
                </c:pt>
                <c:pt idx="84">
                  <c:v>3.13856</c:v>
                </c:pt>
                <c:pt idx="85">
                  <c:v>3.1617599999999997</c:v>
                </c:pt>
                <c:pt idx="86">
                  <c:v>3.1849599999999998</c:v>
                </c:pt>
                <c:pt idx="87">
                  <c:v>3.2081599999999995</c:v>
                </c:pt>
                <c:pt idx="88">
                  <c:v>3.2313599999999996</c:v>
                </c:pt>
                <c:pt idx="89">
                  <c:v>3.2545599999999997</c:v>
                </c:pt>
                <c:pt idx="90">
                  <c:v>3.2777599999999998</c:v>
                </c:pt>
                <c:pt idx="91">
                  <c:v>3.3009599999999999</c:v>
                </c:pt>
                <c:pt idx="92">
                  <c:v>3.32416</c:v>
                </c:pt>
                <c:pt idx="93">
                  <c:v>3.3473600000000001</c:v>
                </c:pt>
                <c:pt idx="94">
                  <c:v>3.3705600000000002</c:v>
                </c:pt>
                <c:pt idx="95">
                  <c:v>3.3937600000000003</c:v>
                </c:pt>
                <c:pt idx="96">
                  <c:v>3.4169599999999996</c:v>
                </c:pt>
                <c:pt idx="97">
                  <c:v>3.4401599999999997</c:v>
                </c:pt>
                <c:pt idx="98">
                  <c:v>3.4633599999999998</c:v>
                </c:pt>
                <c:pt idx="99">
                  <c:v>3.4865599999999999</c:v>
                </c:pt>
                <c:pt idx="100">
                  <c:v>3.50976</c:v>
                </c:pt>
                <c:pt idx="101">
                  <c:v>3.5329600000000001</c:v>
                </c:pt>
                <c:pt idx="102">
                  <c:v>3.5561600000000002</c:v>
                </c:pt>
                <c:pt idx="103">
                  <c:v>3.5793599999999994</c:v>
                </c:pt>
                <c:pt idx="104">
                  <c:v>3.6025599999999995</c:v>
                </c:pt>
                <c:pt idx="105">
                  <c:v>3.6257599999999996</c:v>
                </c:pt>
                <c:pt idx="106">
                  <c:v>3.6489599999999998</c:v>
                </c:pt>
                <c:pt idx="107">
                  <c:v>3.6721599999999999</c:v>
                </c:pt>
                <c:pt idx="108">
                  <c:v>3.69536</c:v>
                </c:pt>
                <c:pt idx="109">
                  <c:v>3.7185600000000001</c:v>
                </c:pt>
                <c:pt idx="110">
                  <c:v>3.7417600000000002</c:v>
                </c:pt>
                <c:pt idx="111">
                  <c:v>3.7649600000000003</c:v>
                </c:pt>
                <c:pt idx="112">
                  <c:v>3.7881600000000004</c:v>
                </c:pt>
                <c:pt idx="113">
                  <c:v>3.8113599999999996</c:v>
                </c:pt>
                <c:pt idx="114">
                  <c:v>3.8345599999999997</c:v>
                </c:pt>
                <c:pt idx="115">
                  <c:v>3.8577599999999999</c:v>
                </c:pt>
                <c:pt idx="116">
                  <c:v>3.88096</c:v>
                </c:pt>
                <c:pt idx="117">
                  <c:v>3.9041599999999992</c:v>
                </c:pt>
                <c:pt idx="118">
                  <c:v>3.9273599999999993</c:v>
                </c:pt>
                <c:pt idx="119">
                  <c:v>3.9505599999999994</c:v>
                </c:pt>
                <c:pt idx="120">
                  <c:v>3.9737599999999995</c:v>
                </c:pt>
                <c:pt idx="121">
                  <c:v>3.9969599999999996</c:v>
                </c:pt>
                <c:pt idx="122">
                  <c:v>4.0201599999999997</c:v>
                </c:pt>
                <c:pt idx="123">
                  <c:v>4.0433599999999998</c:v>
                </c:pt>
                <c:pt idx="124">
                  <c:v>4.06656</c:v>
                </c:pt>
                <c:pt idx="125">
                  <c:v>4.0897600000000001</c:v>
                </c:pt>
                <c:pt idx="126">
                  <c:v>4.1129600000000002</c:v>
                </c:pt>
                <c:pt idx="127">
                  <c:v>4.1361599999999994</c:v>
                </c:pt>
                <c:pt idx="128">
                  <c:v>4.1593599999999995</c:v>
                </c:pt>
                <c:pt idx="129">
                  <c:v>4.1825599999999996</c:v>
                </c:pt>
                <c:pt idx="130">
                  <c:v>4.2057599999999997</c:v>
                </c:pt>
                <c:pt idx="131">
                  <c:v>4.2289599999999998</c:v>
                </c:pt>
                <c:pt idx="132">
                  <c:v>4.2521599999999999</c:v>
                </c:pt>
                <c:pt idx="133">
                  <c:v>4.27536</c:v>
                </c:pt>
                <c:pt idx="134">
                  <c:v>4.2985600000000002</c:v>
                </c:pt>
                <c:pt idx="135">
                  <c:v>4.3217600000000003</c:v>
                </c:pt>
                <c:pt idx="136">
                  <c:v>4.3449600000000004</c:v>
                </c:pt>
                <c:pt idx="137">
                  <c:v>4.3681599999999996</c:v>
                </c:pt>
                <c:pt idx="138">
                  <c:v>4.3913599999999997</c:v>
                </c:pt>
                <c:pt idx="139">
                  <c:v>4.4145599999999998</c:v>
                </c:pt>
                <c:pt idx="140">
                  <c:v>4.4377599999999999</c:v>
                </c:pt>
                <c:pt idx="141">
                  <c:v>4.4609599999999991</c:v>
                </c:pt>
                <c:pt idx="142">
                  <c:v>4.4841599999999993</c:v>
                </c:pt>
                <c:pt idx="143">
                  <c:v>4.5073599999999994</c:v>
                </c:pt>
                <c:pt idx="144">
                  <c:v>4.5305599999999995</c:v>
                </c:pt>
                <c:pt idx="145">
                  <c:v>4.5537599999999996</c:v>
                </c:pt>
                <c:pt idx="146">
                  <c:v>4.5769599999999997</c:v>
                </c:pt>
                <c:pt idx="147">
                  <c:v>4.6001599999999998</c:v>
                </c:pt>
                <c:pt idx="148">
                  <c:v>4.6233599999999999</c:v>
                </c:pt>
                <c:pt idx="149">
                  <c:v>4.64656</c:v>
                </c:pt>
                <c:pt idx="150">
                  <c:v>4.6697599999999992</c:v>
                </c:pt>
              </c:numCache>
            </c:numRef>
          </c:yVal>
          <c:smooth val="1"/>
          <c:extLst>
            <c:ext xmlns:c16="http://schemas.microsoft.com/office/drawing/2014/chart" uri="{C3380CC4-5D6E-409C-BE32-E72D297353CC}">
              <c16:uniqueId val="{00000002-EBB2-49C9-A014-1F538461E4EA}"/>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0</c:v>
                </c:pt>
                <c:pt idx="1">
                  <c:v>2.0246139702163139E-4</c:v>
                </c:pt>
                <c:pt idx="2">
                  <c:v>5.7264730704998951E-4</c:v>
                </c:pt>
                <c:pt idx="3">
                  <c:v>1.052020278638519E-3</c:v>
                </c:pt>
                <c:pt idx="4">
                  <c:v>1.6196911761730511E-3</c:v>
                </c:pt>
                <c:pt idx="5">
                  <c:v>2.2635872327997049E-3</c:v>
                </c:pt>
                <c:pt idx="6">
                  <c:v>2.9755626918842328E-3</c:v>
                </c:pt>
                <c:pt idx="7">
                  <c:v>3.7496375462696481E-3</c:v>
                </c:pt>
                <c:pt idx="8">
                  <c:v>4.5811784563999161E-3</c:v>
                </c:pt>
                <c:pt idx="9">
                  <c:v>5.4664577195840443E-3</c:v>
                </c:pt>
                <c:pt idx="10">
                  <c:v>6.4023915284798557E-3</c:v>
                </c:pt>
                <c:pt idx="11">
                  <c:v>7.3863733729712215E-3</c:v>
                </c:pt>
                <c:pt idx="12">
                  <c:v>8.4161622291081522E-3</c:v>
                </c:pt>
                <c:pt idx="13">
                  <c:v>9.489804327426337E-3</c:v>
                </c:pt>
                <c:pt idx="14">
                  <c:v>1.0605576543835817E-2</c:v>
                </c:pt>
                <c:pt idx="15">
                  <c:v>1.1761944283719988E-2</c:v>
                </c:pt>
                <c:pt idx="16">
                  <c:v>1.2957529409384409E-2</c:v>
                </c:pt>
                <c:pt idx="17">
                  <c:v>1.4191085325515078E-2</c:v>
                </c:pt>
                <c:pt idx="18">
                  <c:v>1.5461477290349716E-2</c:v>
                </c:pt>
                <c:pt idx="19">
                  <c:v>1.6767666622121789E-2</c:v>
                </c:pt>
                <c:pt idx="20">
                  <c:v>1.8108697862397639E-2</c:v>
                </c:pt>
                <c:pt idx="21">
                  <c:v>1.9483688220320775E-2</c:v>
                </c:pt>
                <c:pt idx="22">
                  <c:v>2.0891818801614812E-2</c:v>
                </c:pt>
                <c:pt idx="23">
                  <c:v>2.2332327252076234E-2</c:v>
                </c:pt>
                <c:pt idx="24">
                  <c:v>2.3804501535073855E-2</c:v>
                </c:pt>
                <c:pt idx="25">
                  <c:v>2.5307674627703919E-2</c:v>
                </c:pt>
                <c:pt idx="26">
                  <c:v>2.6841219968226415E-2</c:v>
                </c:pt>
                <c:pt idx="27">
                  <c:v>2.8404547523240016E-2</c:v>
                </c:pt>
                <c:pt idx="28">
                  <c:v>2.9997100370157175E-2</c:v>
                </c:pt>
                <c:pt idx="29">
                  <c:v>3.1618351711281079E-2</c:v>
                </c:pt>
                <c:pt idx="30">
                  <c:v>3.3267802251827017E-2</c:v>
                </c:pt>
                <c:pt idx="31">
                  <c:v>3.4944977886760382E-2</c:v>
                </c:pt>
                <c:pt idx="32">
                  <c:v>3.6649427651199329E-2</c:v>
                </c:pt>
                <c:pt idx="33">
                  <c:v>3.8380721896980177E-2</c:v>
                </c:pt>
                <c:pt idx="34">
                  <c:v>4.0138450664274461E-2</c:v>
                </c:pt>
                <c:pt idx="35">
                  <c:v>4.1922222222222236E-2</c:v>
                </c:pt>
                <c:pt idx="36">
                  <c:v>4.3731661756672362E-2</c:v>
                </c:pt>
                <c:pt idx="37">
                  <c:v>4.556641018649539E-2</c:v>
                </c:pt>
                <c:pt idx="38">
                  <c:v>4.7426123092710604E-2</c:v>
                </c:pt>
                <c:pt idx="39">
                  <c:v>4.9310469746968219E-2</c:v>
                </c:pt>
                <c:pt idx="40">
                  <c:v>5.1219132227838859E-2</c:v>
                </c:pt>
                <c:pt idx="41">
                  <c:v>5.3151804614962599E-2</c:v>
                </c:pt>
                <c:pt idx="42">
                  <c:v>5.5108192252453107E-2</c:v>
                </c:pt>
                <c:pt idx="43">
                  <c:v>5.70880110740868E-2</c:v>
                </c:pt>
                <c:pt idx="44">
                  <c:v>5.9090986983769779E-2</c:v>
                </c:pt>
                <c:pt idx="45">
                  <c:v>6.1116855285592013E-2</c:v>
                </c:pt>
                <c:pt idx="46">
                  <c:v>6.3165360158480968E-2</c:v>
                </c:pt>
                <c:pt idx="47">
                  <c:v>6.5236254171063532E-2</c:v>
                </c:pt>
                <c:pt idx="48">
                  <c:v>7.9203823648234153E-2</c:v>
                </c:pt>
                <c:pt idx="49">
                  <c:v>8.1834878792267016E-2</c:v>
                </c:pt>
                <c:pt idx="50">
                  <c:v>8.4520182495970764E-2</c:v>
                </c:pt>
                <c:pt idx="51">
                  <c:v>8.7259734759345231E-2</c:v>
                </c:pt>
                <c:pt idx="52">
                  <c:v>9.0053535582390529E-2</c:v>
                </c:pt>
                <c:pt idx="53">
                  <c:v>9.2901584965106587E-2</c:v>
                </c:pt>
                <c:pt idx="54">
                  <c:v>9.5803882907493393E-2</c:v>
                </c:pt>
                <c:pt idx="55">
                  <c:v>9.8760429409551057E-2</c:v>
                </c:pt>
                <c:pt idx="56">
                  <c:v>0.10177122447127947</c:v>
                </c:pt>
                <c:pt idx="57">
                  <c:v>0.10483626809267861</c:v>
                </c:pt>
                <c:pt idx="58">
                  <c:v>0.10795556027374853</c:v>
                </c:pt>
                <c:pt idx="59">
                  <c:v>0.11112910101448925</c:v>
                </c:pt>
                <c:pt idx="60">
                  <c:v>0.11435689031490082</c:v>
                </c:pt>
                <c:pt idx="61">
                  <c:v>0.11763892817498306</c:v>
                </c:pt>
                <c:pt idx="62">
                  <c:v>0.12097521459473617</c:v>
                </c:pt>
                <c:pt idx="63">
                  <c:v>0.12436574957416008</c:v>
                </c:pt>
                <c:pt idx="64">
                  <c:v>0.1278105331132548</c:v>
                </c:pt>
                <c:pt idx="65">
                  <c:v>0.13130956521202017</c:v>
                </c:pt>
                <c:pt idx="66">
                  <c:v>0.13486284587045641</c:v>
                </c:pt>
                <c:pt idx="67">
                  <c:v>0.13847037508856327</c:v>
                </c:pt>
                <c:pt idx="68">
                  <c:v>0.14213215286634115</c:v>
                </c:pt>
                <c:pt idx="69">
                  <c:v>0.14584817920378976</c:v>
                </c:pt>
                <c:pt idx="70">
                  <c:v>0.14961845410090904</c:v>
                </c:pt>
                <c:pt idx="71">
                  <c:v>0.15344297755769912</c:v>
                </c:pt>
                <c:pt idx="72">
                  <c:v>0.15732174957415992</c:v>
                </c:pt>
                <c:pt idx="73">
                  <c:v>0.16125477015029169</c:v>
                </c:pt>
                <c:pt idx="74">
                  <c:v>0.16524203928609416</c:v>
                </c:pt>
                <c:pt idx="75">
                  <c:v>0.16928355698156747</c:v>
                </c:pt>
                <c:pt idx="76">
                  <c:v>0.17337932323671154</c:v>
                </c:pt>
                <c:pt idx="77">
                  <c:v>0.1775293380515264</c:v>
                </c:pt>
                <c:pt idx="78">
                  <c:v>0.181733601426012</c:v>
                </c:pt>
                <c:pt idx="79">
                  <c:v>0.18599211336016824</c:v>
                </c:pt>
                <c:pt idx="80">
                  <c:v>0.19030487385399544</c:v>
                </c:pt>
                <c:pt idx="81">
                  <c:v>0.1946718829074934</c:v>
                </c:pt>
                <c:pt idx="82">
                  <c:v>0.19909314052066215</c:v>
                </c:pt>
                <c:pt idx="83">
                  <c:v>0.20356864669350169</c:v>
                </c:pt>
                <c:pt idx="84">
                  <c:v>0.20809840142601196</c:v>
                </c:pt>
                <c:pt idx="85">
                  <c:v>0.21268240471819305</c:v>
                </c:pt>
                <c:pt idx="86">
                  <c:v>0.21732065657004476</c:v>
                </c:pt>
                <c:pt idx="87">
                  <c:v>0.22201315698156743</c:v>
                </c:pt>
                <c:pt idx="88">
                  <c:v>0.22675990595276085</c:v>
                </c:pt>
                <c:pt idx="89">
                  <c:v>0.23156090348362512</c:v>
                </c:pt>
                <c:pt idx="90">
                  <c:v>0.23641614957416002</c:v>
                </c:pt>
                <c:pt idx="91">
                  <c:v>0.24132564422436589</c:v>
                </c:pt>
                <c:pt idx="92">
                  <c:v>0.24628938743424225</c:v>
                </c:pt>
                <c:pt idx="93">
                  <c:v>0.25130737920378965</c:v>
                </c:pt>
                <c:pt idx="94">
                  <c:v>0.2563796195330077</c:v>
                </c:pt>
                <c:pt idx="95">
                  <c:v>0.26150610842189664</c:v>
                </c:pt>
                <c:pt idx="96">
                  <c:v>0.26668684587045643</c:v>
                </c:pt>
                <c:pt idx="97">
                  <c:v>0.2719218318786869</c:v>
                </c:pt>
                <c:pt idx="98">
                  <c:v>0.27721106644658805</c:v>
                </c:pt>
                <c:pt idx="99">
                  <c:v>0.28255454957415999</c:v>
                </c:pt>
                <c:pt idx="100">
                  <c:v>0.28795228126140293</c:v>
                </c:pt>
                <c:pt idx="101">
                  <c:v>0.29340426150831656</c:v>
                </c:pt>
                <c:pt idx="102">
                  <c:v>0.29891049031490086</c:v>
                </c:pt>
                <c:pt idx="103">
                  <c:v>0.30447096768115606</c:v>
                </c:pt>
                <c:pt idx="104">
                  <c:v>0.31008569360708194</c:v>
                </c:pt>
                <c:pt idx="105">
                  <c:v>0.3157546680926786</c:v>
                </c:pt>
                <c:pt idx="106">
                  <c:v>0.32147789113794611</c:v>
                </c:pt>
                <c:pt idx="107">
                  <c:v>0.32725536274288436</c:v>
                </c:pt>
                <c:pt idx="108">
                  <c:v>0.33308708290749334</c:v>
                </c:pt>
                <c:pt idx="109">
                  <c:v>0.33897305163177321</c:v>
                </c:pt>
                <c:pt idx="110">
                  <c:v>0.34491326891572383</c:v>
                </c:pt>
                <c:pt idx="111">
                  <c:v>0.35090773475934522</c:v>
                </c:pt>
                <c:pt idx="112">
                  <c:v>0.35695644916263763</c:v>
                </c:pt>
                <c:pt idx="113">
                  <c:v>0.36305941212560056</c:v>
                </c:pt>
                <c:pt idx="114">
                  <c:v>0.36921662364823421</c:v>
                </c:pt>
                <c:pt idx="115">
                  <c:v>0.37542808373053882</c:v>
                </c:pt>
                <c:pt idx="116">
                  <c:v>0.38169379237251405</c:v>
                </c:pt>
                <c:pt idx="117">
                  <c:v>0.38801374957416013</c:v>
                </c:pt>
                <c:pt idx="118">
                  <c:v>0.39438795533547699</c:v>
                </c:pt>
                <c:pt idx="119">
                  <c:v>0.40081640965646459</c:v>
                </c:pt>
                <c:pt idx="120">
                  <c:v>0.40729911253712298</c:v>
                </c:pt>
                <c:pt idx="121">
                  <c:v>0.41383606397745243</c:v>
                </c:pt>
                <c:pt idx="122">
                  <c:v>0.420427263977452</c:v>
                </c:pt>
                <c:pt idx="123">
                  <c:v>0.42707271253712287</c:v>
                </c:pt>
                <c:pt idx="124">
                  <c:v>0.43377240965646457</c:v>
                </c:pt>
                <c:pt idx="125">
                  <c:v>0.44052635533547685</c:v>
                </c:pt>
                <c:pt idx="126">
                  <c:v>0.44733454957416008</c:v>
                </c:pt>
                <c:pt idx="127">
                  <c:v>0.45419699237251415</c:v>
                </c:pt>
                <c:pt idx="128">
                  <c:v>0.4611136837305389</c:v>
                </c:pt>
                <c:pt idx="129">
                  <c:v>0.46808462364823411</c:v>
                </c:pt>
                <c:pt idx="130">
                  <c:v>0.47510981212560044</c:v>
                </c:pt>
                <c:pt idx="131">
                  <c:v>0.4821892491626375</c:v>
                </c:pt>
                <c:pt idx="132">
                  <c:v>0.4893229347593453</c:v>
                </c:pt>
                <c:pt idx="133">
                  <c:v>0.49651086891572388</c:v>
                </c:pt>
                <c:pt idx="134">
                  <c:v>0.50375305163177342</c:v>
                </c:pt>
                <c:pt idx="135">
                  <c:v>0.51104948290749341</c:v>
                </c:pt>
                <c:pt idx="136">
                  <c:v>0.51840016274288447</c:v>
                </c:pt>
                <c:pt idx="137">
                  <c:v>0.52580509113794605</c:v>
                </c:pt>
                <c:pt idx="138">
                  <c:v>0.53326426809267891</c:v>
                </c:pt>
                <c:pt idx="139">
                  <c:v>0.54077769360708194</c:v>
                </c:pt>
                <c:pt idx="140">
                  <c:v>0.54834536768115583</c:v>
                </c:pt>
                <c:pt idx="141">
                  <c:v>0.55596729031490111</c:v>
                </c:pt>
                <c:pt idx="142">
                  <c:v>0.56364346150831646</c:v>
                </c:pt>
                <c:pt idx="143">
                  <c:v>0.57137388126140287</c:v>
                </c:pt>
                <c:pt idx="144">
                  <c:v>0.57915854957416002</c:v>
                </c:pt>
                <c:pt idx="145">
                  <c:v>0.5869974664465879</c:v>
                </c:pt>
                <c:pt idx="146">
                  <c:v>0.59489063187868674</c:v>
                </c:pt>
                <c:pt idx="147">
                  <c:v>0.60283804587045631</c:v>
                </c:pt>
                <c:pt idx="148">
                  <c:v>0.61083970842189661</c:v>
                </c:pt>
                <c:pt idx="149">
                  <c:v>0.61889561953300787</c:v>
                </c:pt>
                <c:pt idx="150">
                  <c:v>0.62700577920378986</c:v>
                </c:pt>
              </c:numCache>
            </c:numRef>
          </c:yVal>
          <c:smooth val="1"/>
          <c:extLst>
            <c:ext xmlns:c16="http://schemas.microsoft.com/office/drawing/2014/chart" uri="{C3380CC4-5D6E-409C-BE32-E72D297353CC}">
              <c16:uniqueId val="{00000003-EBB2-49C9-A014-1F538461E4EA}"/>
            </c:ext>
          </c:extLst>
        </c:ser>
        <c:dLbls>
          <c:showLegendKey val="0"/>
          <c:showVal val="0"/>
          <c:showCatName val="0"/>
          <c:showSerName val="0"/>
          <c:showPercent val="0"/>
          <c:showBubbleSize val="0"/>
        </c:dLbls>
        <c:axId val="157162112"/>
        <c:axId val="157160192"/>
      </c:scatterChart>
      <c:valAx>
        <c:axId val="144893056"/>
        <c:scaling>
          <c:orientation val="minMax"/>
        </c:scaling>
        <c:delete val="0"/>
        <c:axPos val="b"/>
        <c:majorGridlines/>
        <c:numFmt formatCode="General" sourceLinked="1"/>
        <c:majorTickMark val="out"/>
        <c:minorTickMark val="none"/>
        <c:tickLblPos val="nextTo"/>
        <c:crossAx val="144894592"/>
        <c:crosses val="autoZero"/>
        <c:crossBetween val="midCat"/>
      </c:valAx>
      <c:valAx>
        <c:axId val="144894592"/>
        <c:scaling>
          <c:orientation val="minMax"/>
          <c:max val="100"/>
          <c:min val="7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44893056"/>
        <c:crosses val="autoZero"/>
        <c:crossBetween val="midCat"/>
      </c:valAx>
      <c:valAx>
        <c:axId val="15716019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57162112"/>
        <c:crosses val="max"/>
        <c:crossBetween val="midCat"/>
      </c:valAx>
      <c:valAx>
        <c:axId val="157162112"/>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15716019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Eff_vs_IOUT!$AT$7:$AT$157</c:f>
              <c:numCache>
                <c:formatCode>General</c:formatCode>
                <c:ptCount val="151"/>
                <c:pt idx="0">
                  <c:v>0</c:v>
                </c:pt>
                <c:pt idx="1">
                  <c:v>50.09514345545557</c:v>
                </c:pt>
                <c:pt idx="2">
                  <c:v>63.289844559656657</c:v>
                </c:pt>
                <c:pt idx="3">
                  <c:v>69.379429411235932</c:v>
                </c:pt>
                <c:pt idx="4">
                  <c:v>72.884580776730076</c:v>
                </c:pt>
                <c:pt idx="5">
                  <c:v>75.162037853841028</c:v>
                </c:pt>
                <c:pt idx="6">
                  <c:v>76.760359190701919</c:v>
                </c:pt>
                <c:pt idx="7">
                  <c:v>77.943682981669852</c:v>
                </c:pt>
                <c:pt idx="8">
                  <c:v>78.8549056409462</c:v>
                </c:pt>
                <c:pt idx="9">
                  <c:v>79.578082357965258</c:v>
                </c:pt>
                <c:pt idx="10">
                  <c:v>80.165885624052919</c:v>
                </c:pt>
                <c:pt idx="11">
                  <c:v>80.653000280174268</c:v>
                </c:pt>
                <c:pt idx="12">
                  <c:v>81.063197481461657</c:v>
                </c:pt>
                <c:pt idx="13">
                  <c:v>81.413313835095252</c:v>
                </c:pt>
                <c:pt idx="14">
                  <c:v>81.715607967677286</c:v>
                </c:pt>
                <c:pt idx="15">
                  <c:v>81.979217292778529</c:v>
                </c:pt>
                <c:pt idx="16">
                  <c:v>82.211091816773603</c:v>
                </c:pt>
                <c:pt idx="17">
                  <c:v>82.416611638945142</c:v>
                </c:pt>
                <c:pt idx="18">
                  <c:v>82.600006461018651</c:v>
                </c:pt>
                <c:pt idx="19">
                  <c:v>82.764647409285644</c:v>
                </c:pt>
                <c:pt idx="20">
                  <c:v>82.913254320647837</c:v>
                </c:pt>
                <c:pt idx="21">
                  <c:v>83.048045745770139</c:v>
                </c:pt>
                <c:pt idx="22">
                  <c:v>83.170849323672982</c:v>
                </c:pt>
                <c:pt idx="23">
                  <c:v>83.283184226212583</c:v>
                </c:pt>
                <c:pt idx="24">
                  <c:v>83.386323583957108</c:v>
                </c:pt>
                <c:pt idx="25">
                  <c:v>83.481342343485011</c:v>
                </c:pt>
                <c:pt idx="26">
                  <c:v>83.569154373943718</c:v>
                </c:pt>
                <c:pt idx="27">
                  <c:v>83.650541538577258</c:v>
                </c:pt>
                <c:pt idx="28">
                  <c:v>83.726176690260957</c:v>
                </c:pt>
                <c:pt idx="29">
                  <c:v>83.79664202260372</c:v>
                </c:pt>
                <c:pt idx="30">
                  <c:v>83.862443835274519</c:v>
                </c:pt>
                <c:pt idx="31">
                  <c:v>83.924024505134341</c:v>
                </c:pt>
                <c:pt idx="32">
                  <c:v>83.981772261159946</c:v>
                </c:pt>
                <c:pt idx="33">
                  <c:v>84.036029219235218</c:v>
                </c:pt>
                <c:pt idx="34">
                  <c:v>84.08709802776842</c:v>
                </c:pt>
                <c:pt idx="35">
                  <c:v>84.135247396469381</c:v>
                </c:pt>
                <c:pt idx="36">
                  <c:v>84.180716721270755</c:v>
                </c:pt>
                <c:pt idx="37">
                  <c:v>84.223719973192885</c:v>
                </c:pt>
                <c:pt idx="38">
                  <c:v>84.264448984271638</c:v>
                </c:pt>
                <c:pt idx="39">
                  <c:v>84.303076236848824</c:v>
                </c:pt>
                <c:pt idx="40">
                  <c:v>84.3397572416347</c:v>
                </c:pt>
                <c:pt idx="41">
                  <c:v>84.374632573568519</c:v>
                </c:pt>
                <c:pt idx="42">
                  <c:v>84.407829621573597</c:v>
                </c:pt>
                <c:pt idx="43">
                  <c:v>84.43946409803435</c:v>
                </c:pt>
                <c:pt idx="44">
                  <c:v>84.469641345622748</c:v>
                </c:pt>
                <c:pt idx="45">
                  <c:v>84.498457472515</c:v>
                </c:pt>
                <c:pt idx="46">
                  <c:v>84.52600034172228</c:v>
                </c:pt>
                <c:pt idx="47">
                  <c:v>84.552350435945385</c:v>
                </c:pt>
                <c:pt idx="48">
                  <c:v>84.530945186897029</c:v>
                </c:pt>
                <c:pt idx="49">
                  <c:v>84.554337077692807</c:v>
                </c:pt>
                <c:pt idx="50">
                  <c:v>84.576702014184249</c:v>
                </c:pt>
                <c:pt idx="51">
                  <c:v>84.598099557103069</c:v>
                </c:pt>
                <c:pt idx="52">
                  <c:v>84.618584749418019</c:v>
                </c:pt>
                <c:pt idx="53">
                  <c:v>84.63820853671119</c:v>
                </c:pt>
                <c:pt idx="54">
                  <c:v>84.657018141473145</c:v>
                </c:pt>
                <c:pt idx="55">
                  <c:v>84.675057397103927</c:v>
                </c:pt>
                <c:pt idx="56">
                  <c:v>84.69236704659177</c:v>
                </c:pt>
                <c:pt idx="57">
                  <c:v>84.70898501015202</c:v>
                </c:pt>
                <c:pt idx="58">
                  <c:v>84.724946625525561</c:v>
                </c:pt>
                <c:pt idx="59">
                  <c:v>84.740284864140762</c:v>
                </c:pt>
                <c:pt idx="60">
                  <c:v>84.755030525920745</c:v>
                </c:pt>
                <c:pt idx="61">
                  <c:v>84.769212415157185</c:v>
                </c:pt>
                <c:pt idx="62">
                  <c:v>84.782857499563519</c:v>
                </c:pt>
                <c:pt idx="63">
                  <c:v>84.7959910543549</c:v>
                </c:pt>
                <c:pt idx="64">
                  <c:v>84.808636792973758</c:v>
                </c:pt>
                <c:pt idx="65">
                  <c:v>84.820816985883468</c:v>
                </c:pt>
                <c:pt idx="66">
                  <c:v>84.832552568681436</c:v>
                </c:pt>
                <c:pt idx="67">
                  <c:v>84.843863240635315</c:v>
                </c:pt>
                <c:pt idx="68">
                  <c:v>84.854767554617922</c:v>
                </c:pt>
                <c:pt idx="69">
                  <c:v>84.865282999304171</c:v>
                </c:pt>
                <c:pt idx="70">
                  <c:v>84.875426074395492</c:v>
                </c:pt>
                <c:pt idx="71">
                  <c:v>84.885212359552625</c:v>
                </c:pt>
                <c:pt idx="72">
                  <c:v>84.894656577641911</c:v>
                </c:pt>
                <c:pt idx="73">
                  <c:v>84.903772652835087</c:v>
                </c:pt>
                <c:pt idx="74">
                  <c:v>84.912573764044581</c:v>
                </c:pt>
                <c:pt idx="75">
                  <c:v>84.92107239412546</c:v>
                </c:pt>
                <c:pt idx="76">
                  <c:v>84.929280375230249</c:v>
                </c:pt>
                <c:pt idx="77">
                  <c:v>84.937208930662976</c:v>
                </c:pt>
                <c:pt idx="78">
                  <c:v>84.94486871354367</c:v>
                </c:pt>
                <c:pt idx="79">
                  <c:v>84.952269842563439</c:v>
                </c:pt>
                <c:pt idx="80">
                  <c:v>84.959421935082347</c:v>
                </c:pt>
                <c:pt idx="81">
                  <c:v>84.966334137797588</c:v>
                </c:pt>
                <c:pt idx="82">
                  <c:v>84.973015155187525</c:v>
                </c:pt>
                <c:pt idx="83">
                  <c:v>84.979473275917684</c:v>
                </c:pt>
                <c:pt idx="84">
                  <c:v>84.985716397376876</c:v>
                </c:pt>
                <c:pt idx="85">
                  <c:v>84.991752048496267</c:v>
                </c:pt>
                <c:pt idx="86">
                  <c:v>84.997587410989823</c:v>
                </c:pt>
                <c:pt idx="87">
                  <c:v>85.003229339142251</c:v>
                </c:pt>
                <c:pt idx="88">
                  <c:v>85.008684378258863</c:v>
                </c:pt>
                <c:pt idx="89">
                  <c:v>85.013958781881897</c:v>
                </c:pt>
                <c:pt idx="90">
                  <c:v>85.019058527868253</c:v>
                </c:pt>
                <c:pt idx="91">
                  <c:v>85.023989333415756</c:v>
                </c:pt>
                <c:pt idx="92">
                  <c:v>85.028756669117172</c:v>
                </c:pt>
                <c:pt idx="93">
                  <c:v>85.033365772114635</c:v>
                </c:pt>
                <c:pt idx="94">
                  <c:v>85.037821658420881</c:v>
                </c:pt>
                <c:pt idx="95">
                  <c:v>85.042129134468354</c:v>
                </c:pt>
                <c:pt idx="96">
                  <c:v>85.046292807941953</c:v>
                </c:pt>
                <c:pt idx="97">
                  <c:v>85.050317097946717</c:v>
                </c:pt>
                <c:pt idx="98">
                  <c:v>85.054206244557619</c:v>
                </c:pt>
                <c:pt idx="99">
                  <c:v>85.057964317794927</c:v>
                </c:pt>
                <c:pt idx="100">
                  <c:v>85.061595226064924</c:v>
                </c:pt>
                <c:pt idx="101">
                  <c:v>85.065102724102758</c:v>
                </c:pt>
                <c:pt idx="102">
                  <c:v>85.068490420451553</c:v>
                </c:pt>
                <c:pt idx="103">
                  <c:v>85.071761784508809</c:v>
                </c:pt>
                <c:pt idx="104">
                  <c:v>85.07492015316906</c:v>
                </c:pt>
                <c:pt idx="105">
                  <c:v>85.077968737089975</c:v>
                </c:pt>
                <c:pt idx="106">
                  <c:v>85.080910626605572</c:v>
                </c:pt>
                <c:pt idx="107">
                  <c:v>85.083748797310804</c:v>
                </c:pt>
                <c:pt idx="108">
                  <c:v>85.086486115337408</c:v>
                </c:pt>
                <c:pt idx="109">
                  <c:v>85.08912534234176</c:v>
                </c:pt>
                <c:pt idx="110">
                  <c:v>85.09166914022201</c:v>
                </c:pt>
                <c:pt idx="111">
                  <c:v>85.094120075582353</c:v>
                </c:pt>
                <c:pt idx="112">
                  <c:v>85.096480623959337</c:v>
                </c:pt>
                <c:pt idx="113">
                  <c:v>85.098753173825529</c:v>
                </c:pt>
                <c:pt idx="114">
                  <c:v>85.100940030383512</c:v>
                </c:pt>
                <c:pt idx="115">
                  <c:v>85.103043419163427</c:v>
                </c:pt>
                <c:pt idx="116">
                  <c:v>85.105065489435489</c:v>
                </c:pt>
                <c:pt idx="117">
                  <c:v>85.107008317448617</c:v>
                </c:pt>
                <c:pt idx="118">
                  <c:v>85.108873909505434</c:v>
                </c:pt>
                <c:pt idx="119">
                  <c:v>85.110664204883093</c:v>
                </c:pt>
                <c:pt idx="120">
                  <c:v>85.112381078609076</c:v>
                </c:pt>
                <c:pt idx="121">
                  <c:v>85.114026344100097</c:v>
                </c:pt>
                <c:pt idx="122">
                  <c:v>85.115601755671989</c:v>
                </c:pt>
                <c:pt idx="123">
                  <c:v>85.117109010927948</c:v>
                </c:pt>
                <c:pt idx="124">
                  <c:v>85.118549753031843</c:v>
                </c:pt>
                <c:pt idx="125">
                  <c:v>85.119925572873086</c:v>
                </c:pt>
                <c:pt idx="126">
                  <c:v>85.121238011128952</c:v>
                </c:pt>
                <c:pt idx="127">
                  <c:v>85.122488560230124</c:v>
                </c:pt>
                <c:pt idx="128">
                  <c:v>85.123678666234483</c:v>
                </c:pt>
                <c:pt idx="129">
                  <c:v>85.124809730614402</c:v>
                </c:pt>
                <c:pt idx="130">
                  <c:v>85.125883111961926</c:v>
                </c:pt>
                <c:pt idx="131">
                  <c:v>85.126900127616238</c:v>
                </c:pt>
                <c:pt idx="132">
                  <c:v>85.127862055217705</c:v>
                </c:pt>
                <c:pt idx="133">
                  <c:v>85.12877013419201</c:v>
                </c:pt>
                <c:pt idx="134">
                  <c:v>85.129625567168432</c:v>
                </c:pt>
                <c:pt idx="135">
                  <c:v>85.130429521335159</c:v>
                </c:pt>
                <c:pt idx="136">
                  <c:v>85.131183129735362</c:v>
                </c:pt>
                <c:pt idx="137">
                  <c:v>85.131887492506706</c:v>
                </c:pt>
                <c:pt idx="138">
                  <c:v>85.132543678067208</c:v>
                </c:pt>
                <c:pt idx="139">
                  <c:v>85.13315272425028</c:v>
                </c:pt>
                <c:pt idx="140">
                  <c:v>85.133715639391355</c:v>
                </c:pt>
                <c:pt idx="141">
                  <c:v>85.134233403368441</c:v>
                </c:pt>
                <c:pt idx="142">
                  <c:v>85.134706968598977</c:v>
                </c:pt>
                <c:pt idx="143">
                  <c:v>85.135137260995165</c:v>
                </c:pt>
                <c:pt idx="144">
                  <c:v>85.13552518087954</c:v>
                </c:pt>
                <c:pt idx="145">
                  <c:v>85.135871603862938</c:v>
                </c:pt>
                <c:pt idx="146">
                  <c:v>85.136177381686593</c:v>
                </c:pt>
                <c:pt idx="147">
                  <c:v>85.136443343029939</c:v>
                </c:pt>
                <c:pt idx="148">
                  <c:v>85.136670294285921</c:v>
                </c:pt>
                <c:pt idx="149">
                  <c:v>85.136859020305138</c:v>
                </c:pt>
                <c:pt idx="150">
                  <c:v>85.137010285110478</c:v>
                </c:pt>
              </c:numCache>
            </c:numRef>
          </c:yVal>
          <c:smooth val="0"/>
          <c:extLst>
            <c:ext xmlns:c16="http://schemas.microsoft.com/office/drawing/2014/chart" uri="{C3380CC4-5D6E-409C-BE32-E72D297353CC}">
              <c16:uniqueId val="{00000000-8AEF-4CD2-9E91-5056CF00EB36}"/>
            </c:ext>
          </c:extLst>
        </c:ser>
        <c:dLbls>
          <c:showLegendKey val="0"/>
          <c:showVal val="0"/>
          <c:showCatName val="0"/>
          <c:showSerName val="0"/>
          <c:showPercent val="0"/>
          <c:showBubbleSize val="0"/>
        </c:dLbls>
        <c:axId val="145036800"/>
        <c:axId val="145038336"/>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0</c:v>
                </c:pt>
                <c:pt idx="1">
                  <c:v>0.32659322512445021</c:v>
                </c:pt>
                <c:pt idx="2">
                  <c:v>0.65318645024890043</c:v>
                </c:pt>
                <c:pt idx="3">
                  <c:v>0.97977967537335064</c:v>
                </c:pt>
                <c:pt idx="4">
                  <c:v>1.3063729004978009</c:v>
                </c:pt>
                <c:pt idx="5">
                  <c:v>1.632966125622251</c:v>
                </c:pt>
                <c:pt idx="6">
                  <c:v>1.9595593507467013</c:v>
                </c:pt>
                <c:pt idx="7">
                  <c:v>2.2861525758711516</c:v>
                </c:pt>
                <c:pt idx="8">
                  <c:v>2.6127458009956017</c:v>
                </c:pt>
                <c:pt idx="9">
                  <c:v>2.9393390261200509</c:v>
                </c:pt>
                <c:pt idx="10">
                  <c:v>3.2659322512445019</c:v>
                </c:pt>
                <c:pt idx="11">
                  <c:v>3.5925254763689516</c:v>
                </c:pt>
                <c:pt idx="12">
                  <c:v>3.9191187014934026</c:v>
                </c:pt>
                <c:pt idx="13">
                  <c:v>4.2457119266178518</c:v>
                </c:pt>
                <c:pt idx="14">
                  <c:v>4.5723051517423032</c:v>
                </c:pt>
                <c:pt idx="15">
                  <c:v>4.898898376866752</c:v>
                </c:pt>
                <c:pt idx="16">
                  <c:v>5.2254916019912034</c:v>
                </c:pt>
                <c:pt idx="17">
                  <c:v>5.552084827115654</c:v>
                </c:pt>
                <c:pt idx="18">
                  <c:v>5.8786780522401019</c:v>
                </c:pt>
                <c:pt idx="19">
                  <c:v>6.2052712773645551</c:v>
                </c:pt>
                <c:pt idx="20">
                  <c:v>6.5318645024890039</c:v>
                </c:pt>
                <c:pt idx="21">
                  <c:v>6.8584577276134544</c:v>
                </c:pt>
                <c:pt idx="22">
                  <c:v>7.1850509527379032</c:v>
                </c:pt>
                <c:pt idx="23">
                  <c:v>7.5116441778623537</c:v>
                </c:pt>
                <c:pt idx="24">
                  <c:v>7.8382374029868052</c:v>
                </c:pt>
                <c:pt idx="25">
                  <c:v>8.1648306281112539</c:v>
                </c:pt>
                <c:pt idx="26">
                  <c:v>8.4914238532357036</c:v>
                </c:pt>
                <c:pt idx="27">
                  <c:v>8.8180170783601568</c:v>
                </c:pt>
                <c:pt idx="28">
                  <c:v>9.1446103034846065</c:v>
                </c:pt>
                <c:pt idx="29">
                  <c:v>9.4712035286090543</c:v>
                </c:pt>
                <c:pt idx="30">
                  <c:v>9.797796753733504</c:v>
                </c:pt>
                <c:pt idx="31">
                  <c:v>10.124389978857957</c:v>
                </c:pt>
                <c:pt idx="32">
                  <c:v>10.450983203982407</c:v>
                </c:pt>
                <c:pt idx="33">
                  <c:v>10.777576429106857</c:v>
                </c:pt>
                <c:pt idx="34">
                  <c:v>11.104169654231308</c:v>
                </c:pt>
                <c:pt idx="35">
                  <c:v>11.430762879355758</c:v>
                </c:pt>
                <c:pt idx="36">
                  <c:v>11.757356104480204</c:v>
                </c:pt>
                <c:pt idx="37">
                  <c:v>12.083949329604655</c:v>
                </c:pt>
                <c:pt idx="38">
                  <c:v>12.41054255472911</c:v>
                </c:pt>
                <c:pt idx="39">
                  <c:v>12.737135779853558</c:v>
                </c:pt>
                <c:pt idx="40">
                  <c:v>13.063729004978008</c:v>
                </c:pt>
                <c:pt idx="41">
                  <c:v>13.390322230102459</c:v>
                </c:pt>
                <c:pt idx="42">
                  <c:v>13.716915455226909</c:v>
                </c:pt>
                <c:pt idx="43">
                  <c:v>14.043508680351357</c:v>
                </c:pt>
                <c:pt idx="44">
                  <c:v>14.370101905475806</c:v>
                </c:pt>
                <c:pt idx="45">
                  <c:v>14.69669513060026</c:v>
                </c:pt>
                <c:pt idx="46">
                  <c:v>15.023288355724707</c:v>
                </c:pt>
                <c:pt idx="47">
                  <c:v>15.349881580849161</c:v>
                </c:pt>
                <c:pt idx="48">
                  <c:v>15.67647480597361</c:v>
                </c:pt>
                <c:pt idx="49">
                  <c:v>16.00306803109806</c:v>
                </c:pt>
                <c:pt idx="50">
                  <c:v>16.329661256222508</c:v>
                </c:pt>
                <c:pt idx="51">
                  <c:v>16.656254481346963</c:v>
                </c:pt>
                <c:pt idx="52">
                  <c:v>16.982847706471407</c:v>
                </c:pt>
                <c:pt idx="53">
                  <c:v>17.309440931595859</c:v>
                </c:pt>
                <c:pt idx="54">
                  <c:v>17.636034156720314</c:v>
                </c:pt>
                <c:pt idx="55">
                  <c:v>17.962627381844761</c:v>
                </c:pt>
                <c:pt idx="56">
                  <c:v>18.289220606969213</c:v>
                </c:pt>
                <c:pt idx="57">
                  <c:v>18.615813832093664</c:v>
                </c:pt>
                <c:pt idx="58">
                  <c:v>18.942407057218109</c:v>
                </c:pt>
                <c:pt idx="59">
                  <c:v>19.26900028234256</c:v>
                </c:pt>
                <c:pt idx="60">
                  <c:v>19.595593507467008</c:v>
                </c:pt>
                <c:pt idx="61">
                  <c:v>19.922186732591459</c:v>
                </c:pt>
                <c:pt idx="62">
                  <c:v>20.248779957715914</c:v>
                </c:pt>
                <c:pt idx="63">
                  <c:v>20.575373182840359</c:v>
                </c:pt>
                <c:pt idx="64">
                  <c:v>20.901966407964814</c:v>
                </c:pt>
                <c:pt idx="65">
                  <c:v>21.228559633089262</c:v>
                </c:pt>
                <c:pt idx="66">
                  <c:v>21.555152858213713</c:v>
                </c:pt>
                <c:pt idx="67">
                  <c:v>21.881746083338161</c:v>
                </c:pt>
                <c:pt idx="68">
                  <c:v>22.208339308462616</c:v>
                </c:pt>
                <c:pt idx="69">
                  <c:v>22.534932533587067</c:v>
                </c:pt>
                <c:pt idx="70">
                  <c:v>22.861525758711515</c:v>
                </c:pt>
                <c:pt idx="71">
                  <c:v>23.188118983835963</c:v>
                </c:pt>
                <c:pt idx="72">
                  <c:v>23.514712208960407</c:v>
                </c:pt>
                <c:pt idx="73">
                  <c:v>23.841305434084866</c:v>
                </c:pt>
                <c:pt idx="74">
                  <c:v>24.16789865920931</c:v>
                </c:pt>
                <c:pt idx="75">
                  <c:v>24.494491884333762</c:v>
                </c:pt>
                <c:pt idx="76">
                  <c:v>24.82108510945822</c:v>
                </c:pt>
                <c:pt idx="77">
                  <c:v>25.147678334582665</c:v>
                </c:pt>
                <c:pt idx="78">
                  <c:v>25.474271559707116</c:v>
                </c:pt>
                <c:pt idx="79">
                  <c:v>25.800864784831564</c:v>
                </c:pt>
                <c:pt idx="80">
                  <c:v>26.127458009956015</c:v>
                </c:pt>
                <c:pt idx="81">
                  <c:v>26.45405123508046</c:v>
                </c:pt>
                <c:pt idx="82">
                  <c:v>26.780644460204918</c:v>
                </c:pt>
                <c:pt idx="83">
                  <c:v>27.107237685329366</c:v>
                </c:pt>
                <c:pt idx="84">
                  <c:v>27.433830910453818</c:v>
                </c:pt>
                <c:pt idx="85">
                  <c:v>27.760424135578269</c:v>
                </c:pt>
                <c:pt idx="86">
                  <c:v>28.087017360702713</c:v>
                </c:pt>
                <c:pt idx="87">
                  <c:v>28.413610585827168</c:v>
                </c:pt>
                <c:pt idx="88">
                  <c:v>28.740203810951613</c:v>
                </c:pt>
                <c:pt idx="89">
                  <c:v>29.066797036076064</c:v>
                </c:pt>
                <c:pt idx="90">
                  <c:v>29.393390261200519</c:v>
                </c:pt>
                <c:pt idx="91">
                  <c:v>29.719983486324967</c:v>
                </c:pt>
                <c:pt idx="92">
                  <c:v>30.046576711449415</c:v>
                </c:pt>
                <c:pt idx="93">
                  <c:v>30.373169936573873</c:v>
                </c:pt>
                <c:pt idx="94">
                  <c:v>30.699763161698321</c:v>
                </c:pt>
                <c:pt idx="95">
                  <c:v>31.026356386822769</c:v>
                </c:pt>
                <c:pt idx="96">
                  <c:v>31.352949611947221</c:v>
                </c:pt>
                <c:pt idx="97">
                  <c:v>31.679542837071669</c:v>
                </c:pt>
                <c:pt idx="98">
                  <c:v>32.00613606219612</c:v>
                </c:pt>
                <c:pt idx="99">
                  <c:v>32.332729287320568</c:v>
                </c:pt>
                <c:pt idx="100">
                  <c:v>32.659322512445016</c:v>
                </c:pt>
                <c:pt idx="101">
                  <c:v>32.985915737569464</c:v>
                </c:pt>
                <c:pt idx="102">
                  <c:v>33.312508962693926</c:v>
                </c:pt>
                <c:pt idx="103">
                  <c:v>33.639102187818374</c:v>
                </c:pt>
                <c:pt idx="104">
                  <c:v>33.965695412942814</c:v>
                </c:pt>
                <c:pt idx="105">
                  <c:v>34.292288638067276</c:v>
                </c:pt>
                <c:pt idx="106">
                  <c:v>34.618881863191717</c:v>
                </c:pt>
                <c:pt idx="107">
                  <c:v>34.945475088316172</c:v>
                </c:pt>
                <c:pt idx="108">
                  <c:v>35.272068313440627</c:v>
                </c:pt>
                <c:pt idx="109">
                  <c:v>35.598661538565075</c:v>
                </c:pt>
                <c:pt idx="110">
                  <c:v>35.925254763689523</c:v>
                </c:pt>
                <c:pt idx="111">
                  <c:v>36.251847988813971</c:v>
                </c:pt>
                <c:pt idx="112">
                  <c:v>36.578441213938426</c:v>
                </c:pt>
                <c:pt idx="113">
                  <c:v>36.905034439062874</c:v>
                </c:pt>
                <c:pt idx="114">
                  <c:v>37.231627664187329</c:v>
                </c:pt>
                <c:pt idx="115">
                  <c:v>37.558220889311777</c:v>
                </c:pt>
                <c:pt idx="116">
                  <c:v>37.884814114436217</c:v>
                </c:pt>
                <c:pt idx="117">
                  <c:v>38.211407339560672</c:v>
                </c:pt>
                <c:pt idx="118">
                  <c:v>38.53800056468512</c:v>
                </c:pt>
                <c:pt idx="119">
                  <c:v>38.864593789809568</c:v>
                </c:pt>
                <c:pt idx="120">
                  <c:v>39.191187014934016</c:v>
                </c:pt>
                <c:pt idx="121">
                  <c:v>39.517780240058478</c:v>
                </c:pt>
                <c:pt idx="122">
                  <c:v>39.844373465182919</c:v>
                </c:pt>
                <c:pt idx="123">
                  <c:v>40.17096669030736</c:v>
                </c:pt>
                <c:pt idx="124">
                  <c:v>40.497559915431829</c:v>
                </c:pt>
                <c:pt idx="125">
                  <c:v>40.824153140556277</c:v>
                </c:pt>
                <c:pt idx="126">
                  <c:v>41.150746365680718</c:v>
                </c:pt>
                <c:pt idx="127">
                  <c:v>41.477339590805173</c:v>
                </c:pt>
                <c:pt idx="128">
                  <c:v>41.803932815929628</c:v>
                </c:pt>
                <c:pt idx="129">
                  <c:v>42.130526041054068</c:v>
                </c:pt>
                <c:pt idx="130">
                  <c:v>42.457119266178523</c:v>
                </c:pt>
                <c:pt idx="131">
                  <c:v>42.783712491302978</c:v>
                </c:pt>
                <c:pt idx="132">
                  <c:v>43.110305716427426</c:v>
                </c:pt>
                <c:pt idx="133">
                  <c:v>43.436898941551874</c:v>
                </c:pt>
                <c:pt idx="134">
                  <c:v>43.763492166676322</c:v>
                </c:pt>
                <c:pt idx="135">
                  <c:v>44.090085391800777</c:v>
                </c:pt>
                <c:pt idx="136">
                  <c:v>44.416678616925232</c:v>
                </c:pt>
                <c:pt idx="137">
                  <c:v>44.74327184204968</c:v>
                </c:pt>
                <c:pt idx="138">
                  <c:v>45.069865067174135</c:v>
                </c:pt>
                <c:pt idx="139">
                  <c:v>45.396458292298583</c:v>
                </c:pt>
                <c:pt idx="140">
                  <c:v>45.723051517423031</c:v>
                </c:pt>
                <c:pt idx="141">
                  <c:v>46.049644742547471</c:v>
                </c:pt>
                <c:pt idx="142">
                  <c:v>46.376237967671926</c:v>
                </c:pt>
                <c:pt idx="143">
                  <c:v>46.702831192796381</c:v>
                </c:pt>
                <c:pt idx="144">
                  <c:v>47.029424417920815</c:v>
                </c:pt>
                <c:pt idx="145">
                  <c:v>47.356017643045284</c:v>
                </c:pt>
                <c:pt idx="146">
                  <c:v>47.682610868169732</c:v>
                </c:pt>
                <c:pt idx="147">
                  <c:v>48.009204093294166</c:v>
                </c:pt>
                <c:pt idx="148">
                  <c:v>48.335797318418621</c:v>
                </c:pt>
                <c:pt idx="149">
                  <c:v>48.662390543543083</c:v>
                </c:pt>
                <c:pt idx="150">
                  <c:v>48.988983768667524</c:v>
                </c:pt>
              </c:numCache>
            </c:numRef>
          </c:yVal>
          <c:smooth val="1"/>
          <c:extLst>
            <c:ext xmlns:c16="http://schemas.microsoft.com/office/drawing/2014/chart" uri="{C3380CC4-5D6E-409C-BE32-E72D297353CC}">
              <c16:uniqueId val="{00000001-8AEF-4CD2-9E91-5056CF00EB36}"/>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Eff_vs_IOUT!$AN$7:$AN$157</c:f>
              <c:numCache>
                <c:formatCode>General</c:formatCode>
                <c:ptCount val="151"/>
                <c:pt idx="0">
                  <c:v>1.1897599999999999</c:v>
                </c:pt>
                <c:pt idx="1">
                  <c:v>1.2129599999999998</c:v>
                </c:pt>
                <c:pt idx="2">
                  <c:v>1.2361599999999999</c:v>
                </c:pt>
                <c:pt idx="3">
                  <c:v>1.25936</c:v>
                </c:pt>
                <c:pt idx="4">
                  <c:v>1.2825599999999999</c:v>
                </c:pt>
                <c:pt idx="5">
                  <c:v>1.3057599999999998</c:v>
                </c:pt>
                <c:pt idx="6">
                  <c:v>1.3289599999999999</c:v>
                </c:pt>
                <c:pt idx="7">
                  <c:v>1.35216</c:v>
                </c:pt>
                <c:pt idx="8">
                  <c:v>1.3753599999999999</c:v>
                </c:pt>
                <c:pt idx="9">
                  <c:v>1.3985599999999998</c:v>
                </c:pt>
                <c:pt idx="10">
                  <c:v>1.4217599999999999</c:v>
                </c:pt>
                <c:pt idx="11">
                  <c:v>1.44496</c:v>
                </c:pt>
                <c:pt idx="12">
                  <c:v>1.4681599999999999</c:v>
                </c:pt>
                <c:pt idx="13">
                  <c:v>1.4913599999999998</c:v>
                </c:pt>
                <c:pt idx="14">
                  <c:v>1.5145599999999999</c:v>
                </c:pt>
                <c:pt idx="15">
                  <c:v>1.53776</c:v>
                </c:pt>
                <c:pt idx="16">
                  <c:v>1.5609599999999999</c:v>
                </c:pt>
                <c:pt idx="17">
                  <c:v>1.58416</c:v>
                </c:pt>
                <c:pt idx="18">
                  <c:v>1.6073599999999999</c:v>
                </c:pt>
                <c:pt idx="19">
                  <c:v>1.63056</c:v>
                </c:pt>
                <c:pt idx="20">
                  <c:v>1.6537599999999999</c:v>
                </c:pt>
                <c:pt idx="21">
                  <c:v>1.6769599999999998</c:v>
                </c:pt>
                <c:pt idx="22">
                  <c:v>1.7001599999999999</c:v>
                </c:pt>
                <c:pt idx="23">
                  <c:v>1.72336</c:v>
                </c:pt>
                <c:pt idx="24">
                  <c:v>1.7465599999999999</c:v>
                </c:pt>
                <c:pt idx="25">
                  <c:v>1.7697599999999998</c:v>
                </c:pt>
                <c:pt idx="26">
                  <c:v>1.7929599999999999</c:v>
                </c:pt>
                <c:pt idx="27">
                  <c:v>1.81616</c:v>
                </c:pt>
                <c:pt idx="28">
                  <c:v>1.8393600000000001</c:v>
                </c:pt>
                <c:pt idx="29">
                  <c:v>1.8625599999999998</c:v>
                </c:pt>
                <c:pt idx="30">
                  <c:v>1.8857599999999999</c:v>
                </c:pt>
                <c:pt idx="31">
                  <c:v>1.90896</c:v>
                </c:pt>
                <c:pt idx="32">
                  <c:v>1.9321599999999999</c:v>
                </c:pt>
                <c:pt idx="33">
                  <c:v>1.9553599999999998</c:v>
                </c:pt>
                <c:pt idx="34">
                  <c:v>1.9785599999999999</c:v>
                </c:pt>
                <c:pt idx="35">
                  <c:v>2.00176</c:v>
                </c:pt>
                <c:pt idx="36">
                  <c:v>2.0249600000000001</c:v>
                </c:pt>
                <c:pt idx="37">
                  <c:v>2.0481599999999998</c:v>
                </c:pt>
                <c:pt idx="38">
                  <c:v>2.0713599999999999</c:v>
                </c:pt>
                <c:pt idx="39">
                  <c:v>2.09456</c:v>
                </c:pt>
                <c:pt idx="40">
                  <c:v>2.1177599999999996</c:v>
                </c:pt>
                <c:pt idx="41">
                  <c:v>2.1409599999999998</c:v>
                </c:pt>
                <c:pt idx="42">
                  <c:v>2.1641599999999999</c:v>
                </c:pt>
                <c:pt idx="43">
                  <c:v>2.18736</c:v>
                </c:pt>
                <c:pt idx="44">
                  <c:v>2.2105600000000001</c:v>
                </c:pt>
                <c:pt idx="45">
                  <c:v>2.2337600000000002</c:v>
                </c:pt>
                <c:pt idx="46">
                  <c:v>2.2569599999999999</c:v>
                </c:pt>
                <c:pt idx="47">
                  <c:v>2.28016</c:v>
                </c:pt>
                <c:pt idx="48">
                  <c:v>2.3033599999999996</c:v>
                </c:pt>
                <c:pt idx="49">
                  <c:v>2.3265599999999997</c:v>
                </c:pt>
                <c:pt idx="50">
                  <c:v>2.3497599999999998</c:v>
                </c:pt>
                <c:pt idx="51">
                  <c:v>2.37296</c:v>
                </c:pt>
                <c:pt idx="52">
                  <c:v>2.3961600000000001</c:v>
                </c:pt>
                <c:pt idx="53">
                  <c:v>2.4193600000000002</c:v>
                </c:pt>
                <c:pt idx="54">
                  <c:v>2.4425599999999998</c:v>
                </c:pt>
                <c:pt idx="55">
                  <c:v>2.46576</c:v>
                </c:pt>
                <c:pt idx="56">
                  <c:v>2.4889600000000001</c:v>
                </c:pt>
                <c:pt idx="57">
                  <c:v>2.5121599999999997</c:v>
                </c:pt>
                <c:pt idx="58">
                  <c:v>2.5353599999999998</c:v>
                </c:pt>
                <c:pt idx="59">
                  <c:v>2.5585599999999999</c:v>
                </c:pt>
                <c:pt idx="60">
                  <c:v>2.5817600000000001</c:v>
                </c:pt>
                <c:pt idx="61">
                  <c:v>2.6049599999999997</c:v>
                </c:pt>
                <c:pt idx="62">
                  <c:v>2.6281599999999998</c:v>
                </c:pt>
                <c:pt idx="63">
                  <c:v>2.6513599999999999</c:v>
                </c:pt>
                <c:pt idx="64">
                  <c:v>2.6745599999999996</c:v>
                </c:pt>
                <c:pt idx="65">
                  <c:v>2.6977599999999997</c:v>
                </c:pt>
                <c:pt idx="66">
                  <c:v>2.7209599999999998</c:v>
                </c:pt>
                <c:pt idx="67">
                  <c:v>2.7441599999999999</c:v>
                </c:pt>
                <c:pt idx="68">
                  <c:v>2.76736</c:v>
                </c:pt>
                <c:pt idx="69">
                  <c:v>2.7905600000000002</c:v>
                </c:pt>
                <c:pt idx="70">
                  <c:v>2.8137600000000003</c:v>
                </c:pt>
                <c:pt idx="71">
                  <c:v>2.8369599999999995</c:v>
                </c:pt>
                <c:pt idx="72">
                  <c:v>2.8601599999999996</c:v>
                </c:pt>
                <c:pt idx="73">
                  <c:v>2.8833599999999997</c:v>
                </c:pt>
                <c:pt idx="74">
                  <c:v>2.9065599999999998</c:v>
                </c:pt>
                <c:pt idx="75">
                  <c:v>2.9297599999999999</c:v>
                </c:pt>
                <c:pt idx="76">
                  <c:v>2.95296</c:v>
                </c:pt>
                <c:pt idx="77">
                  <c:v>2.9761600000000001</c:v>
                </c:pt>
                <c:pt idx="78">
                  <c:v>2.9993599999999998</c:v>
                </c:pt>
                <c:pt idx="79">
                  <c:v>3.0225599999999999</c:v>
                </c:pt>
                <c:pt idx="80">
                  <c:v>3.0457599999999996</c:v>
                </c:pt>
                <c:pt idx="81">
                  <c:v>3.0689599999999997</c:v>
                </c:pt>
                <c:pt idx="82">
                  <c:v>3.0921599999999998</c:v>
                </c:pt>
                <c:pt idx="83">
                  <c:v>3.1153599999999999</c:v>
                </c:pt>
                <c:pt idx="84">
                  <c:v>3.13856</c:v>
                </c:pt>
                <c:pt idx="85">
                  <c:v>3.1617599999999997</c:v>
                </c:pt>
                <c:pt idx="86">
                  <c:v>3.1849599999999998</c:v>
                </c:pt>
                <c:pt idx="87">
                  <c:v>3.2081599999999995</c:v>
                </c:pt>
                <c:pt idx="88">
                  <c:v>3.2313599999999996</c:v>
                </c:pt>
                <c:pt idx="89">
                  <c:v>3.2545599999999997</c:v>
                </c:pt>
                <c:pt idx="90">
                  <c:v>3.2777599999999998</c:v>
                </c:pt>
                <c:pt idx="91">
                  <c:v>3.3009599999999999</c:v>
                </c:pt>
                <c:pt idx="92">
                  <c:v>3.32416</c:v>
                </c:pt>
                <c:pt idx="93">
                  <c:v>3.3473600000000001</c:v>
                </c:pt>
                <c:pt idx="94">
                  <c:v>3.3705600000000002</c:v>
                </c:pt>
                <c:pt idx="95">
                  <c:v>3.3937600000000003</c:v>
                </c:pt>
                <c:pt idx="96">
                  <c:v>3.4169599999999996</c:v>
                </c:pt>
                <c:pt idx="97">
                  <c:v>3.4401599999999997</c:v>
                </c:pt>
                <c:pt idx="98">
                  <c:v>3.4633599999999998</c:v>
                </c:pt>
                <c:pt idx="99">
                  <c:v>3.4865599999999999</c:v>
                </c:pt>
                <c:pt idx="100">
                  <c:v>3.50976</c:v>
                </c:pt>
                <c:pt idx="101">
                  <c:v>3.5329600000000001</c:v>
                </c:pt>
                <c:pt idx="102">
                  <c:v>3.5561600000000002</c:v>
                </c:pt>
                <c:pt idx="103">
                  <c:v>3.5793599999999994</c:v>
                </c:pt>
                <c:pt idx="104">
                  <c:v>3.6025599999999995</c:v>
                </c:pt>
                <c:pt idx="105">
                  <c:v>3.6257599999999996</c:v>
                </c:pt>
                <c:pt idx="106">
                  <c:v>3.6489599999999998</c:v>
                </c:pt>
                <c:pt idx="107">
                  <c:v>3.6721599999999999</c:v>
                </c:pt>
                <c:pt idx="108">
                  <c:v>3.69536</c:v>
                </c:pt>
                <c:pt idx="109">
                  <c:v>3.7185600000000001</c:v>
                </c:pt>
                <c:pt idx="110">
                  <c:v>3.7417600000000002</c:v>
                </c:pt>
                <c:pt idx="111">
                  <c:v>3.7649600000000003</c:v>
                </c:pt>
                <c:pt idx="112">
                  <c:v>3.7881600000000004</c:v>
                </c:pt>
                <c:pt idx="113">
                  <c:v>3.8113599999999996</c:v>
                </c:pt>
                <c:pt idx="114">
                  <c:v>3.8345599999999997</c:v>
                </c:pt>
                <c:pt idx="115">
                  <c:v>3.8577599999999999</c:v>
                </c:pt>
                <c:pt idx="116">
                  <c:v>3.88096</c:v>
                </c:pt>
                <c:pt idx="117">
                  <c:v>3.9041599999999992</c:v>
                </c:pt>
                <c:pt idx="118">
                  <c:v>3.9273599999999993</c:v>
                </c:pt>
                <c:pt idx="119">
                  <c:v>3.9505599999999994</c:v>
                </c:pt>
                <c:pt idx="120">
                  <c:v>3.9737599999999995</c:v>
                </c:pt>
                <c:pt idx="121">
                  <c:v>3.9969599999999996</c:v>
                </c:pt>
                <c:pt idx="122">
                  <c:v>4.0201599999999997</c:v>
                </c:pt>
                <c:pt idx="123">
                  <c:v>4.0433599999999998</c:v>
                </c:pt>
                <c:pt idx="124">
                  <c:v>4.06656</c:v>
                </c:pt>
                <c:pt idx="125">
                  <c:v>4.0897600000000001</c:v>
                </c:pt>
                <c:pt idx="126">
                  <c:v>4.1129600000000002</c:v>
                </c:pt>
                <c:pt idx="127">
                  <c:v>4.1361599999999994</c:v>
                </c:pt>
                <c:pt idx="128">
                  <c:v>4.1593599999999995</c:v>
                </c:pt>
                <c:pt idx="129">
                  <c:v>4.1825599999999996</c:v>
                </c:pt>
                <c:pt idx="130">
                  <c:v>4.2057599999999997</c:v>
                </c:pt>
                <c:pt idx="131">
                  <c:v>4.2289599999999998</c:v>
                </c:pt>
                <c:pt idx="132">
                  <c:v>4.2521599999999999</c:v>
                </c:pt>
                <c:pt idx="133">
                  <c:v>4.27536</c:v>
                </c:pt>
                <c:pt idx="134">
                  <c:v>4.2985600000000002</c:v>
                </c:pt>
                <c:pt idx="135">
                  <c:v>4.3217600000000003</c:v>
                </c:pt>
                <c:pt idx="136">
                  <c:v>4.3449600000000004</c:v>
                </c:pt>
                <c:pt idx="137">
                  <c:v>4.3681599999999996</c:v>
                </c:pt>
                <c:pt idx="138">
                  <c:v>4.3913599999999997</c:v>
                </c:pt>
                <c:pt idx="139">
                  <c:v>4.4145599999999998</c:v>
                </c:pt>
                <c:pt idx="140">
                  <c:v>4.4377599999999999</c:v>
                </c:pt>
                <c:pt idx="141">
                  <c:v>4.4609599999999991</c:v>
                </c:pt>
                <c:pt idx="142">
                  <c:v>4.4841599999999993</c:v>
                </c:pt>
                <c:pt idx="143">
                  <c:v>4.5073599999999994</c:v>
                </c:pt>
                <c:pt idx="144">
                  <c:v>4.5305599999999995</c:v>
                </c:pt>
                <c:pt idx="145">
                  <c:v>4.5537599999999996</c:v>
                </c:pt>
                <c:pt idx="146">
                  <c:v>4.5769599999999997</c:v>
                </c:pt>
                <c:pt idx="147">
                  <c:v>4.6001599999999998</c:v>
                </c:pt>
                <c:pt idx="148">
                  <c:v>4.6233599999999999</c:v>
                </c:pt>
                <c:pt idx="149">
                  <c:v>4.64656</c:v>
                </c:pt>
                <c:pt idx="150">
                  <c:v>4.6697599999999992</c:v>
                </c:pt>
              </c:numCache>
            </c:numRef>
          </c:yVal>
          <c:smooth val="1"/>
          <c:extLst>
            <c:ext xmlns:c16="http://schemas.microsoft.com/office/drawing/2014/chart" uri="{C3380CC4-5D6E-409C-BE32-E72D297353CC}">
              <c16:uniqueId val="{00000002-8AEF-4CD2-9E91-5056CF00EB36}"/>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0</c:v>
                </c:pt>
                <c:pt idx="1">
                  <c:v>2.0246139702163139E-4</c:v>
                </c:pt>
                <c:pt idx="2">
                  <c:v>5.7264730704998951E-4</c:v>
                </c:pt>
                <c:pt idx="3">
                  <c:v>1.052020278638519E-3</c:v>
                </c:pt>
                <c:pt idx="4">
                  <c:v>1.6196911761730511E-3</c:v>
                </c:pt>
                <c:pt idx="5">
                  <c:v>2.2635872327997049E-3</c:v>
                </c:pt>
                <c:pt idx="6">
                  <c:v>2.9755626918842328E-3</c:v>
                </c:pt>
                <c:pt idx="7">
                  <c:v>3.7496375462696481E-3</c:v>
                </c:pt>
                <c:pt idx="8">
                  <c:v>4.5811784563999161E-3</c:v>
                </c:pt>
                <c:pt idx="9">
                  <c:v>5.4664577195840443E-3</c:v>
                </c:pt>
                <c:pt idx="10">
                  <c:v>6.4023915284798557E-3</c:v>
                </c:pt>
                <c:pt idx="11">
                  <c:v>7.3863733729712215E-3</c:v>
                </c:pt>
                <c:pt idx="12">
                  <c:v>8.4161622291081522E-3</c:v>
                </c:pt>
                <c:pt idx="13">
                  <c:v>9.489804327426337E-3</c:v>
                </c:pt>
                <c:pt idx="14">
                  <c:v>1.0605576543835817E-2</c:v>
                </c:pt>
                <c:pt idx="15">
                  <c:v>1.1761944283719988E-2</c:v>
                </c:pt>
                <c:pt idx="16">
                  <c:v>1.2957529409384409E-2</c:v>
                </c:pt>
                <c:pt idx="17">
                  <c:v>1.4191085325515078E-2</c:v>
                </c:pt>
                <c:pt idx="18">
                  <c:v>1.5461477290349716E-2</c:v>
                </c:pt>
                <c:pt idx="19">
                  <c:v>1.6767666622121789E-2</c:v>
                </c:pt>
                <c:pt idx="20">
                  <c:v>1.8108697862397639E-2</c:v>
                </c:pt>
                <c:pt idx="21">
                  <c:v>1.9483688220320775E-2</c:v>
                </c:pt>
                <c:pt idx="22">
                  <c:v>2.0891818801614812E-2</c:v>
                </c:pt>
                <c:pt idx="23">
                  <c:v>2.2332327252076234E-2</c:v>
                </c:pt>
                <c:pt idx="24">
                  <c:v>2.3804501535073855E-2</c:v>
                </c:pt>
                <c:pt idx="25">
                  <c:v>2.5307674627703919E-2</c:v>
                </c:pt>
                <c:pt idx="26">
                  <c:v>2.6841219968226415E-2</c:v>
                </c:pt>
                <c:pt idx="27">
                  <c:v>2.8404547523240016E-2</c:v>
                </c:pt>
                <c:pt idx="28">
                  <c:v>2.9997100370157175E-2</c:v>
                </c:pt>
                <c:pt idx="29">
                  <c:v>3.1618351711281079E-2</c:v>
                </c:pt>
                <c:pt idx="30">
                  <c:v>3.3267802251827017E-2</c:v>
                </c:pt>
                <c:pt idx="31">
                  <c:v>3.4944977886760382E-2</c:v>
                </c:pt>
                <c:pt idx="32">
                  <c:v>3.6649427651199329E-2</c:v>
                </c:pt>
                <c:pt idx="33">
                  <c:v>3.8380721896980177E-2</c:v>
                </c:pt>
                <c:pt idx="34">
                  <c:v>4.0138450664274461E-2</c:v>
                </c:pt>
                <c:pt idx="35">
                  <c:v>4.1922222222222236E-2</c:v>
                </c:pt>
                <c:pt idx="36">
                  <c:v>4.3731661756672362E-2</c:v>
                </c:pt>
                <c:pt idx="37">
                  <c:v>4.556641018649539E-2</c:v>
                </c:pt>
                <c:pt idx="38">
                  <c:v>4.7426123092710604E-2</c:v>
                </c:pt>
                <c:pt idx="39">
                  <c:v>4.9310469746968219E-2</c:v>
                </c:pt>
                <c:pt idx="40">
                  <c:v>5.1219132227838859E-2</c:v>
                </c:pt>
                <c:pt idx="41">
                  <c:v>5.3151804614962599E-2</c:v>
                </c:pt>
                <c:pt idx="42">
                  <c:v>5.5108192252453107E-2</c:v>
                </c:pt>
                <c:pt idx="43">
                  <c:v>5.70880110740868E-2</c:v>
                </c:pt>
                <c:pt idx="44">
                  <c:v>5.9090986983769779E-2</c:v>
                </c:pt>
                <c:pt idx="45">
                  <c:v>6.1116855285592013E-2</c:v>
                </c:pt>
                <c:pt idx="46">
                  <c:v>6.3165360158480968E-2</c:v>
                </c:pt>
                <c:pt idx="47">
                  <c:v>6.5236254171063532E-2</c:v>
                </c:pt>
                <c:pt idx="48">
                  <c:v>7.9203823648234153E-2</c:v>
                </c:pt>
                <c:pt idx="49">
                  <c:v>8.1834878792267016E-2</c:v>
                </c:pt>
                <c:pt idx="50">
                  <c:v>8.4520182495970764E-2</c:v>
                </c:pt>
                <c:pt idx="51">
                  <c:v>8.7259734759345231E-2</c:v>
                </c:pt>
                <c:pt idx="52">
                  <c:v>9.0053535582390529E-2</c:v>
                </c:pt>
                <c:pt idx="53">
                  <c:v>9.2901584965106587E-2</c:v>
                </c:pt>
                <c:pt idx="54">
                  <c:v>9.5803882907493393E-2</c:v>
                </c:pt>
                <c:pt idx="55">
                  <c:v>9.8760429409551057E-2</c:v>
                </c:pt>
                <c:pt idx="56">
                  <c:v>0.10177122447127947</c:v>
                </c:pt>
                <c:pt idx="57">
                  <c:v>0.10483626809267861</c:v>
                </c:pt>
                <c:pt idx="58">
                  <c:v>0.10795556027374853</c:v>
                </c:pt>
                <c:pt idx="59">
                  <c:v>0.11112910101448925</c:v>
                </c:pt>
                <c:pt idx="60">
                  <c:v>0.11435689031490082</c:v>
                </c:pt>
                <c:pt idx="61">
                  <c:v>0.11763892817498306</c:v>
                </c:pt>
                <c:pt idx="62">
                  <c:v>0.12097521459473617</c:v>
                </c:pt>
                <c:pt idx="63">
                  <c:v>0.12436574957416008</c:v>
                </c:pt>
                <c:pt idx="64">
                  <c:v>0.1278105331132548</c:v>
                </c:pt>
                <c:pt idx="65">
                  <c:v>0.13130956521202017</c:v>
                </c:pt>
                <c:pt idx="66">
                  <c:v>0.13486284587045641</c:v>
                </c:pt>
                <c:pt idx="67">
                  <c:v>0.13847037508856327</c:v>
                </c:pt>
                <c:pt idx="68">
                  <c:v>0.14213215286634115</c:v>
                </c:pt>
                <c:pt idx="69">
                  <c:v>0.14584817920378976</c:v>
                </c:pt>
                <c:pt idx="70">
                  <c:v>0.14961845410090904</c:v>
                </c:pt>
                <c:pt idx="71">
                  <c:v>0.15344297755769912</c:v>
                </c:pt>
                <c:pt idx="72">
                  <c:v>0.15732174957415992</c:v>
                </c:pt>
                <c:pt idx="73">
                  <c:v>0.16125477015029169</c:v>
                </c:pt>
                <c:pt idx="74">
                  <c:v>0.16524203928609416</c:v>
                </c:pt>
                <c:pt idx="75">
                  <c:v>0.16928355698156747</c:v>
                </c:pt>
                <c:pt idx="76">
                  <c:v>0.17337932323671154</c:v>
                </c:pt>
                <c:pt idx="77">
                  <c:v>0.1775293380515264</c:v>
                </c:pt>
                <c:pt idx="78">
                  <c:v>0.181733601426012</c:v>
                </c:pt>
                <c:pt idx="79">
                  <c:v>0.18599211336016824</c:v>
                </c:pt>
                <c:pt idx="80">
                  <c:v>0.19030487385399544</c:v>
                </c:pt>
                <c:pt idx="81">
                  <c:v>0.1946718829074934</c:v>
                </c:pt>
                <c:pt idx="82">
                  <c:v>0.19909314052066215</c:v>
                </c:pt>
                <c:pt idx="83">
                  <c:v>0.20356864669350169</c:v>
                </c:pt>
                <c:pt idx="84">
                  <c:v>0.20809840142601196</c:v>
                </c:pt>
                <c:pt idx="85">
                  <c:v>0.21268240471819305</c:v>
                </c:pt>
                <c:pt idx="86">
                  <c:v>0.21732065657004476</c:v>
                </c:pt>
                <c:pt idx="87">
                  <c:v>0.22201315698156743</c:v>
                </c:pt>
                <c:pt idx="88">
                  <c:v>0.22675990595276085</c:v>
                </c:pt>
                <c:pt idx="89">
                  <c:v>0.23156090348362512</c:v>
                </c:pt>
                <c:pt idx="90">
                  <c:v>0.23641614957416002</c:v>
                </c:pt>
                <c:pt idx="91">
                  <c:v>0.24132564422436589</c:v>
                </c:pt>
                <c:pt idx="92">
                  <c:v>0.24628938743424225</c:v>
                </c:pt>
                <c:pt idx="93">
                  <c:v>0.25130737920378965</c:v>
                </c:pt>
                <c:pt idx="94">
                  <c:v>0.2563796195330077</c:v>
                </c:pt>
                <c:pt idx="95">
                  <c:v>0.26150610842189664</c:v>
                </c:pt>
                <c:pt idx="96">
                  <c:v>0.26668684587045643</c:v>
                </c:pt>
                <c:pt idx="97">
                  <c:v>0.2719218318786869</c:v>
                </c:pt>
                <c:pt idx="98">
                  <c:v>0.27721106644658805</c:v>
                </c:pt>
                <c:pt idx="99">
                  <c:v>0.28255454957415999</c:v>
                </c:pt>
                <c:pt idx="100">
                  <c:v>0.28795228126140293</c:v>
                </c:pt>
                <c:pt idx="101">
                  <c:v>0.29340426150831656</c:v>
                </c:pt>
                <c:pt idx="102">
                  <c:v>0.29891049031490086</c:v>
                </c:pt>
                <c:pt idx="103">
                  <c:v>0.30447096768115606</c:v>
                </c:pt>
                <c:pt idx="104">
                  <c:v>0.31008569360708194</c:v>
                </c:pt>
                <c:pt idx="105">
                  <c:v>0.3157546680926786</c:v>
                </c:pt>
                <c:pt idx="106">
                  <c:v>0.32147789113794611</c:v>
                </c:pt>
                <c:pt idx="107">
                  <c:v>0.32725536274288436</c:v>
                </c:pt>
                <c:pt idx="108">
                  <c:v>0.33308708290749334</c:v>
                </c:pt>
                <c:pt idx="109">
                  <c:v>0.33897305163177321</c:v>
                </c:pt>
                <c:pt idx="110">
                  <c:v>0.34491326891572383</c:v>
                </c:pt>
                <c:pt idx="111">
                  <c:v>0.35090773475934522</c:v>
                </c:pt>
                <c:pt idx="112">
                  <c:v>0.35695644916263763</c:v>
                </c:pt>
                <c:pt idx="113">
                  <c:v>0.36305941212560056</c:v>
                </c:pt>
                <c:pt idx="114">
                  <c:v>0.36921662364823421</c:v>
                </c:pt>
                <c:pt idx="115">
                  <c:v>0.37542808373053882</c:v>
                </c:pt>
                <c:pt idx="116">
                  <c:v>0.38169379237251405</c:v>
                </c:pt>
                <c:pt idx="117">
                  <c:v>0.38801374957416013</c:v>
                </c:pt>
                <c:pt idx="118">
                  <c:v>0.39438795533547699</c:v>
                </c:pt>
                <c:pt idx="119">
                  <c:v>0.40081640965646459</c:v>
                </c:pt>
                <c:pt idx="120">
                  <c:v>0.40729911253712298</c:v>
                </c:pt>
                <c:pt idx="121">
                  <c:v>0.41383606397745243</c:v>
                </c:pt>
                <c:pt idx="122">
                  <c:v>0.420427263977452</c:v>
                </c:pt>
                <c:pt idx="123">
                  <c:v>0.42707271253712287</c:v>
                </c:pt>
                <c:pt idx="124">
                  <c:v>0.43377240965646457</c:v>
                </c:pt>
                <c:pt idx="125">
                  <c:v>0.44052635533547685</c:v>
                </c:pt>
                <c:pt idx="126">
                  <c:v>0.44733454957416008</c:v>
                </c:pt>
                <c:pt idx="127">
                  <c:v>0.45419699237251415</c:v>
                </c:pt>
                <c:pt idx="128">
                  <c:v>0.4611136837305389</c:v>
                </c:pt>
                <c:pt idx="129">
                  <c:v>0.46808462364823411</c:v>
                </c:pt>
                <c:pt idx="130">
                  <c:v>0.47510981212560044</c:v>
                </c:pt>
                <c:pt idx="131">
                  <c:v>0.4821892491626375</c:v>
                </c:pt>
                <c:pt idx="132">
                  <c:v>0.4893229347593453</c:v>
                </c:pt>
                <c:pt idx="133">
                  <c:v>0.49651086891572388</c:v>
                </c:pt>
                <c:pt idx="134">
                  <c:v>0.50375305163177342</c:v>
                </c:pt>
                <c:pt idx="135">
                  <c:v>0.51104948290749341</c:v>
                </c:pt>
                <c:pt idx="136">
                  <c:v>0.51840016274288447</c:v>
                </c:pt>
                <c:pt idx="137">
                  <c:v>0.52580509113794605</c:v>
                </c:pt>
                <c:pt idx="138">
                  <c:v>0.53326426809267891</c:v>
                </c:pt>
                <c:pt idx="139">
                  <c:v>0.54077769360708194</c:v>
                </c:pt>
                <c:pt idx="140">
                  <c:v>0.54834536768115583</c:v>
                </c:pt>
                <c:pt idx="141">
                  <c:v>0.55596729031490111</c:v>
                </c:pt>
                <c:pt idx="142">
                  <c:v>0.56364346150831646</c:v>
                </c:pt>
                <c:pt idx="143">
                  <c:v>0.57137388126140287</c:v>
                </c:pt>
                <c:pt idx="144">
                  <c:v>0.57915854957416002</c:v>
                </c:pt>
                <c:pt idx="145">
                  <c:v>0.5869974664465879</c:v>
                </c:pt>
                <c:pt idx="146">
                  <c:v>0.59489063187868674</c:v>
                </c:pt>
                <c:pt idx="147">
                  <c:v>0.60283804587045631</c:v>
                </c:pt>
                <c:pt idx="148">
                  <c:v>0.61083970842189661</c:v>
                </c:pt>
                <c:pt idx="149">
                  <c:v>0.61889561953300787</c:v>
                </c:pt>
                <c:pt idx="150">
                  <c:v>0.62700577920378986</c:v>
                </c:pt>
              </c:numCache>
            </c:numRef>
          </c:yVal>
          <c:smooth val="1"/>
          <c:extLst>
            <c:ext xmlns:c16="http://schemas.microsoft.com/office/drawing/2014/chart" uri="{C3380CC4-5D6E-409C-BE32-E72D297353CC}">
              <c16:uniqueId val="{00000003-8AEF-4CD2-9E91-5056CF00EB36}"/>
            </c:ext>
          </c:extLst>
        </c:ser>
        <c:dLbls>
          <c:showLegendKey val="0"/>
          <c:showVal val="0"/>
          <c:showCatName val="0"/>
          <c:showSerName val="0"/>
          <c:showPercent val="0"/>
          <c:showBubbleSize val="0"/>
        </c:dLbls>
        <c:axId val="145058432"/>
        <c:axId val="145056896"/>
      </c:scatterChart>
      <c:valAx>
        <c:axId val="145036800"/>
        <c:scaling>
          <c:orientation val="minMax"/>
        </c:scaling>
        <c:delete val="0"/>
        <c:axPos val="b"/>
        <c:majorGridlines/>
        <c:numFmt formatCode="General" sourceLinked="1"/>
        <c:majorTickMark val="out"/>
        <c:minorTickMark val="none"/>
        <c:tickLblPos val="nextTo"/>
        <c:crossAx val="145038336"/>
        <c:crosses val="autoZero"/>
        <c:crossBetween val="midCat"/>
      </c:valAx>
      <c:valAx>
        <c:axId val="145038336"/>
        <c:scaling>
          <c:orientation val="minMax"/>
          <c:max val="10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145036800"/>
        <c:crosses val="autoZero"/>
        <c:crossBetween val="midCat"/>
      </c:valAx>
      <c:valAx>
        <c:axId val="145056896"/>
        <c:scaling>
          <c:orientation val="minMax"/>
        </c:scaling>
        <c:delete val="0"/>
        <c:axPos val="r"/>
        <c:numFmt formatCode="General" sourceLinked="1"/>
        <c:majorTickMark val="out"/>
        <c:minorTickMark val="none"/>
        <c:tickLblPos val="nextTo"/>
        <c:crossAx val="145058432"/>
        <c:crosses val="max"/>
        <c:crossBetween val="midCat"/>
      </c:valAx>
      <c:valAx>
        <c:axId val="145058432"/>
        <c:scaling>
          <c:orientation val="minMax"/>
        </c:scaling>
        <c:delete val="1"/>
        <c:axPos val="b"/>
        <c:numFmt formatCode="General" sourceLinked="1"/>
        <c:majorTickMark val="out"/>
        <c:minorTickMark val="none"/>
        <c:tickLblPos val="nextTo"/>
        <c:crossAx val="145056896"/>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41.629484422565113</c:v>
                </c:pt>
                <c:pt idx="1">
                  <c:v>41.62881396016185</c:v>
                </c:pt>
                <c:pt idx="2">
                  <c:v>41.628112010759338</c:v>
                </c:pt>
                <c:pt idx="3">
                  <c:v>41.627377101082928</c:v>
                </c:pt>
                <c:pt idx="4">
                  <c:v>41.626607689447624</c:v>
                </c:pt>
                <c:pt idx="5">
                  <c:v>41.625802162632006</c:v>
                </c:pt>
                <c:pt idx="6">
                  <c:v>41.624958832613174</c:v>
                </c:pt>
                <c:pt idx="7">
                  <c:v>41.62407593315973</c:v>
                </c:pt>
                <c:pt idx="8">
                  <c:v>41.623151616273979</c:v>
                </c:pt>
                <c:pt idx="9">
                  <c:v>41.622183948478629</c:v>
                </c:pt>
                <c:pt idx="10">
                  <c:v>41.621170906943462</c:v>
                </c:pt>
                <c:pt idx="11">
                  <c:v>41.620110375441833</c:v>
                </c:pt>
                <c:pt idx="12">
                  <c:v>41.619000140134091</c:v>
                </c:pt>
                <c:pt idx="13">
                  <c:v>41.6178378851695</c:v>
                </c:pt>
                <c:pt idx="14">
                  <c:v>41.616621188099643</c:v>
                </c:pt>
                <c:pt idx="15">
                  <c:v>41.6153475150969</c:v>
                </c:pt>
                <c:pt idx="16">
                  <c:v>41.614014215970485</c:v>
                </c:pt>
                <c:pt idx="17">
                  <c:v>41.612618518971935</c:v>
                </c:pt>
                <c:pt idx="18">
                  <c:v>41.611157525384577</c:v>
                </c:pt>
                <c:pt idx="19">
                  <c:v>41.609628203886146</c:v>
                </c:pt>
                <c:pt idx="20">
                  <c:v>41.60802738467963</c:v>
                </c:pt>
                <c:pt idx="21">
                  <c:v>41.606351753382562</c:v>
                </c:pt>
                <c:pt idx="22">
                  <c:v>41.604597844667587</c:v>
                </c:pt>
                <c:pt idx="23">
                  <c:v>41.602762035645917</c:v>
                </c:pt>
                <c:pt idx="24">
                  <c:v>41.600840538985196</c:v>
                </c:pt>
                <c:pt idx="25">
                  <c:v>41.598829395754287</c:v>
                </c:pt>
                <c:pt idx="26">
                  <c:v>41.596724467985347</c:v>
                </c:pt>
                <c:pt idx="27">
                  <c:v>41.594521430947125</c:v>
                </c:pt>
                <c:pt idx="28">
                  <c:v>41.592215765119178</c:v>
                </c:pt>
                <c:pt idx="29">
                  <c:v>41.589802747860176</c:v>
                </c:pt>
                <c:pt idx="30">
                  <c:v>41.587277444762655</c:v>
                </c:pt>
                <c:pt idx="31">
                  <c:v>41.584634700684433</c:v>
                </c:pt>
                <c:pt idx="32">
                  <c:v>41.581869130453114</c:v>
                </c:pt>
                <c:pt idx="33">
                  <c:v>41.578975109232218</c:v>
                </c:pt>
                <c:pt idx="34">
                  <c:v>41.575946762545115</c:v>
                </c:pt>
                <c:pt idx="35">
                  <c:v>41.572777955950244</c:v>
                </c:pt>
                <c:pt idx="36">
                  <c:v>41.569462284359339</c:v>
                </c:pt>
                <c:pt idx="37">
                  <c:v>41.565993060997819</c:v>
                </c:pt>
                <c:pt idx="38">
                  <c:v>41.56236330599932</c:v>
                </c:pt>
                <c:pt idx="39">
                  <c:v>41.558565734632481</c:v>
                </c:pt>
                <c:pt idx="40">
                  <c:v>41.554592745157109</c:v>
                </c:pt>
                <c:pt idx="41">
                  <c:v>41.550436406308968</c:v>
                </c:pt>
                <c:pt idx="42">
                  <c:v>41.546088444411566</c:v>
                </c:pt>
                <c:pt idx="43">
                  <c:v>41.541540230117718</c:v>
                </c:pt>
                <c:pt idx="44">
                  <c:v>41.536782764782188</c:v>
                </c:pt>
                <c:pt idx="45">
                  <c:v>41.531806666470821</c:v>
                </c:pt>
                <c:pt idx="46">
                  <c:v>41.526602155612423</c:v>
                </c:pt>
                <c:pt idx="47">
                  <c:v>41.521159040301271</c:v>
                </c:pt>
                <c:pt idx="48">
                  <c:v>41.515466701261602</c:v>
                </c:pt>
                <c:pt idx="49">
                  <c:v>41.509514076486617</c:v>
                </c:pt>
                <c:pt idx="50">
                  <c:v>41.503289645569915</c:v>
                </c:pt>
                <c:pt idx="51">
                  <c:v>41.496781413746348</c:v>
                </c:pt>
                <c:pt idx="52">
                  <c:v>41.489976895666089</c:v>
                </c:pt>
                <c:pt idx="53">
                  <c:v>41.482863098927027</c:v>
                </c:pt>
                <c:pt idx="54">
                  <c:v>41.475426507397685</c:v>
                </c:pt>
                <c:pt idx="55">
                  <c:v>41.467653064361272</c:v>
                </c:pt>
                <c:pt idx="56">
                  <c:v>41.459528155522719</c:v>
                </c:pt>
                <c:pt idx="57">
                  <c:v>41.451036591920499</c:v>
                </c:pt>
                <c:pt idx="58">
                  <c:v>41.442162592792222</c:v>
                </c:pt>
                <c:pt idx="59">
                  <c:v>41.432889768448746</c:v>
                </c:pt>
                <c:pt idx="60">
                  <c:v>41.423201103215696</c:v>
                </c:pt>
                <c:pt idx="61">
                  <c:v>41.413078938509678</c:v>
                </c:pt>
                <c:pt idx="62">
                  <c:v>41.402504956121305</c:v>
                </c:pt>
                <c:pt idx="63">
                  <c:v>41.391460161784799</c:v>
                </c:pt>
                <c:pt idx="64">
                  <c:v>41.379924869120821</c:v>
                </c:pt>
                <c:pt idx="65">
                  <c:v>41.367878684046516</c:v>
                </c:pt>
                <c:pt idx="66">
                  <c:v>41.355300489755635</c:v>
                </c:pt>
                <c:pt idx="67">
                  <c:v>41.342168432376639</c:v>
                </c:pt>
                <c:pt idx="68">
                  <c:v>41.32845990742949</c:v>
                </c:pt>
                <c:pt idx="69">
                  <c:v>41.314151547205242</c:v>
                </c:pt>
                <c:pt idx="70">
                  <c:v>41.299219209204452</c:v>
                </c:pt>
                <c:pt idx="71">
                  <c:v>41.283637965777231</c:v>
                </c:pt>
                <c:pt idx="72">
                  <c:v>41.267382095116794</c:v>
                </c:pt>
                <c:pt idx="73">
                  <c:v>41.250425073766088</c:v>
                </c:pt>
                <c:pt idx="74">
                  <c:v>41.232739570806132</c:v>
                </c:pt>
                <c:pt idx="75">
                  <c:v>41.214297443900222</c:v>
                </c:pt>
                <c:pt idx="76">
                  <c:v>41.195069737378631</c:v>
                </c:pt>
                <c:pt idx="77">
                  <c:v>41.175026682551533</c:v>
                </c:pt>
                <c:pt idx="78">
                  <c:v>41.154137700445972</c:v>
                </c:pt>
                <c:pt idx="79">
                  <c:v>41.132371407166644</c:v>
                </c:pt>
                <c:pt idx="80">
                  <c:v>41.109695622083677</c:v>
                </c:pt>
                <c:pt idx="81">
                  <c:v>41.086077379054508</c:v>
                </c:pt>
                <c:pt idx="82">
                  <c:v>41.061482940885696</c:v>
                </c:pt>
                <c:pt idx="83">
                  <c:v>41.03587781724088</c:v>
                </c:pt>
                <c:pt idx="84">
                  <c:v>41.009226786198745</c:v>
                </c:pt>
                <c:pt idx="85">
                  <c:v>40.981493919659627</c:v>
                </c:pt>
                <c:pt idx="86">
                  <c:v>40.952642612790164</c:v>
                </c:pt>
                <c:pt idx="87">
                  <c:v>40.92263561769083</c:v>
                </c:pt>
                <c:pt idx="88">
                  <c:v>40.891435081451462</c:v>
                </c:pt>
                <c:pt idx="89">
                  <c:v>40.859002588750656</c:v>
                </c:pt>
                <c:pt idx="90">
                  <c:v>40.825299209133433</c:v>
                </c:pt>
                <c:pt idx="91">
                  <c:v>40.790285549078654</c:v>
                </c:pt>
                <c:pt idx="92">
                  <c:v>40.753921808946771</c:v>
                </c:pt>
                <c:pt idx="93">
                  <c:v>40.716167844863321</c:v>
                </c:pt>
                <c:pt idx="94">
                  <c:v>40.676983235568713</c:v>
                </c:pt>
                <c:pt idx="95">
                  <c:v>40.636327354223951</c:v>
                </c:pt>
                <c:pt idx="96">
                  <c:v>40.594159445125754</c:v>
                </c:pt>
                <c:pt idx="97">
                  <c:v>40.55043870524247</c:v>
                </c:pt>
                <c:pt idx="98">
                  <c:v>40.505124370436143</c:v>
                </c:pt>
                <c:pt idx="99">
                  <c:v>40.458175806191008</c:v>
                </c:pt>
                <c:pt idx="100">
                  <c:v>40.409552602616785</c:v>
                </c:pt>
                <c:pt idx="101">
                  <c:v>40.359214673444583</c:v>
                </c:pt>
                <c:pt idx="102">
                  <c:v>40.307122358682278</c:v>
                </c:pt>
                <c:pt idx="103">
                  <c:v>40.253236530540462</c:v>
                </c:pt>
                <c:pt idx="104">
                  <c:v>40.197518702189647</c:v>
                </c:pt>
                <c:pt idx="105">
                  <c:v>40.139931138855943</c:v>
                </c:pt>
                <c:pt idx="106">
                  <c:v>40.08043697071215</c:v>
                </c:pt>
                <c:pt idx="107">
                  <c:v>40.019000306975776</c:v>
                </c:pt>
                <c:pt idx="108">
                  <c:v>39.955586350577313</c:v>
                </c:pt>
                <c:pt idx="109">
                  <c:v>39.890161512726799</c:v>
                </c:pt>
                <c:pt idx="110">
                  <c:v>39.822693526669411</c:v>
                </c:pt>
                <c:pt idx="111">
                  <c:v>39.75315155989334</c:v>
                </c:pt>
                <c:pt idx="112">
                  <c:v>39.681506324032576</c:v>
                </c:pt>
                <c:pt idx="113">
                  <c:v>39.607730181693121</c:v>
                </c:pt>
                <c:pt idx="114">
                  <c:v>39.531797249426781</c:v>
                </c:pt>
                <c:pt idx="115">
                  <c:v>39.453683496079073</c:v>
                </c:pt>
                <c:pt idx="116">
                  <c:v>39.373366835752961</c:v>
                </c:pt>
                <c:pt idx="117">
                  <c:v>39.290827214651642</c:v>
                </c:pt>
                <c:pt idx="118">
                  <c:v>39.206046691095473</c:v>
                </c:pt>
                <c:pt idx="119">
                  <c:v>39.119009508051583</c:v>
                </c:pt>
                <c:pt idx="120">
                  <c:v>39.029702157563179</c:v>
                </c:pt>
                <c:pt idx="121">
                  <c:v>38.938113436528326</c:v>
                </c:pt>
                <c:pt idx="122">
                  <c:v>38.844234493342341</c:v>
                </c:pt>
                <c:pt idx="123">
                  <c:v>38.7480588649954</c:v>
                </c:pt>
                <c:pt idx="124">
                  <c:v>38.649582504295715</c:v>
                </c:pt>
                <c:pt idx="125">
                  <c:v>38.548803796975946</c:v>
                </c:pt>
                <c:pt idx="126">
                  <c:v>38.445723568529587</c:v>
                </c:pt>
                <c:pt idx="127">
                  <c:v>38.340345080715245</c:v>
                </c:pt>
                <c:pt idx="128">
                  <c:v>38.232674017761695</c:v>
                </c:pt>
                <c:pt idx="129">
                  <c:v>38.122718462395014</c:v>
                </c:pt>
                <c:pt idx="130">
                  <c:v>38.010488861905237</c:v>
                </c:pt>
                <c:pt idx="131">
                  <c:v>37.895997984550704</c:v>
                </c:pt>
                <c:pt idx="132">
                  <c:v>37.779260866686634</c:v>
                </c:pt>
                <c:pt idx="133">
                  <c:v>37.660294751077771</c:v>
                </c:pt>
                <c:pt idx="134">
                  <c:v>37.539119016925547</c:v>
                </c:pt>
                <c:pt idx="135">
                  <c:v>37.415755102204173</c:v>
                </c:pt>
                <c:pt idx="136">
                  <c:v>37.290226418951285</c:v>
                </c:pt>
                <c:pt idx="137">
                  <c:v>37.16255826220624</c:v>
                </c:pt>
                <c:pt idx="138">
                  <c:v>37.03277771332246</c:v>
                </c:pt>
                <c:pt idx="139">
                  <c:v>36.900913538406655</c:v>
                </c:pt>
                <c:pt idx="140">
                  <c:v>36.766996082655027</c:v>
                </c:pt>
                <c:pt idx="141">
                  <c:v>36.631057161361596</c:v>
                </c:pt>
                <c:pt idx="142">
                  <c:v>36.493129948373159</c:v>
                </c:pt>
                <c:pt idx="143">
                  <c:v>36.353248862753219</c:v>
                </c:pt>
                <c:pt idx="144">
                  <c:v>36.211449454399947</c:v>
                </c:pt>
                <c:pt idx="145">
                  <c:v>36.067768289335859</c:v>
                </c:pt>
                <c:pt idx="146">
                  <c:v>35.922242835354872</c:v>
                </c:pt>
                <c:pt idx="147">
                  <c:v>35.774911348674834</c:v>
                </c:pt>
                <c:pt idx="148">
                  <c:v>35.625812762199985</c:v>
                </c:pt>
                <c:pt idx="149">
                  <c:v>35.474986575952492</c:v>
                </c:pt>
                <c:pt idx="150">
                  <c:v>35.322472750179692</c:v>
                </c:pt>
                <c:pt idx="151">
                  <c:v>35.168311601597914</c:v>
                </c:pt>
                <c:pt idx="152">
                  <c:v>35.01254370317384</c:v>
                </c:pt>
                <c:pt idx="153">
                  <c:v>34.855209787797186</c:v>
                </c:pt>
                <c:pt idx="154">
                  <c:v>34.696350656143245</c:v>
                </c:pt>
                <c:pt idx="155">
                  <c:v>34.536007088971587</c:v>
                </c:pt>
                <c:pt idx="156">
                  <c:v>34.374219764058601</c:v>
                </c:pt>
                <c:pt idx="157">
                  <c:v>34.211029177912039</c:v>
                </c:pt>
                <c:pt idx="158">
                  <c:v>34.046475572371286</c:v>
                </c:pt>
                <c:pt idx="159">
                  <c:v>33.880598866153456</c:v>
                </c:pt>
                <c:pt idx="160">
                  <c:v>33.713438591365112</c:v>
                </c:pt>
                <c:pt idx="161">
                  <c:v>33.545033834964919</c:v>
                </c:pt>
                <c:pt idx="162">
                  <c:v>33.375423185127111</c:v>
                </c:pt>
                <c:pt idx="163">
                  <c:v>33.204644682426704</c:v>
                </c:pt>
                <c:pt idx="164">
                  <c:v>33.032735775743134</c:v>
                </c:pt>
                <c:pt idx="165">
                  <c:v>32.859733282751201</c:v>
                </c:pt>
                <c:pt idx="166">
                  <c:v>32.685673354854472</c:v>
                </c:pt>
                <c:pt idx="167">
                  <c:v>32.510591446395686</c:v>
                </c:pt>
                <c:pt idx="168">
                  <c:v>32.334522287965953</c:v>
                </c:pt>
                <c:pt idx="169">
                  <c:v>32.157499863625894</c:v>
                </c:pt>
                <c:pt idx="170">
                  <c:v>31.979557391840537</c:v>
                </c:pt>
                <c:pt idx="171">
                  <c:v>31.800727309927794</c:v>
                </c:pt>
                <c:pt idx="172">
                  <c:v>31.621041261813566</c:v>
                </c:pt>
                <c:pt idx="173">
                  <c:v>31.440530088887542</c:v>
                </c:pt>
                <c:pt idx="174">
                  <c:v>31.259223823753022</c:v>
                </c:pt>
                <c:pt idx="175">
                  <c:v>31.077151686666017</c:v>
                </c:pt>
                <c:pt idx="176">
                  <c:v>30.894342084462455</c:v>
                </c:pt>
                <c:pt idx="177">
                  <c:v>30.710822611777129</c:v>
                </c:pt>
                <c:pt idx="178">
                  <c:v>30.526620054362752</c:v>
                </c:pt>
                <c:pt idx="179">
                  <c:v>30.341760394324389</c:v>
                </c:pt>
                <c:pt idx="180">
                  <c:v>30.156268817090627</c:v>
                </c:pt>
                <c:pt idx="181">
                  <c:v>29.970169719952633</c:v>
                </c:pt>
                <c:pt idx="182">
                  <c:v>29.783486722007058</c:v>
                </c:pt>
                <c:pt idx="183">
                  <c:v>29.596242675348936</c:v>
                </c:pt>
                <c:pt idx="184">
                  <c:v>29.408459677368874</c:v>
                </c:pt>
                <c:pt idx="185">
                  <c:v>29.220159084017013</c:v>
                </c:pt>
                <c:pt idx="186">
                  <c:v>29.03136152390385</c:v>
                </c:pt>
                <c:pt idx="187">
                  <c:v>28.842086913118589</c:v>
                </c:pt>
                <c:pt idx="188">
                  <c:v>28.652354470651218</c:v>
                </c:pt>
                <c:pt idx="189">
                  <c:v>28.462182734314659</c:v>
                </c:pt>
                <c:pt idx="190">
                  <c:v>28.271589577069747</c:v>
                </c:pt>
                <c:pt idx="191">
                  <c:v>28.080592223664681</c:v>
                </c:pt>
                <c:pt idx="192">
                  <c:v>27.889207267506364</c:v>
                </c:pt>
                <c:pt idx="193">
                  <c:v>27.697450687689248</c:v>
                </c:pt>
                <c:pt idx="194">
                  <c:v>27.505337866112995</c:v>
                </c:pt>
                <c:pt idx="195">
                  <c:v>27.312883604627643</c:v>
                </c:pt>
                <c:pt idx="196">
                  <c:v>27.120102142149719</c:v>
                </c:pt>
                <c:pt idx="197">
                  <c:v>26.927007171698627</c:v>
                </c:pt>
                <c:pt idx="198">
                  <c:v>26.733611857309771</c:v>
                </c:pt>
                <c:pt idx="199">
                  <c:v>26.539928850782019</c:v>
                </c:pt>
                <c:pt idx="200">
                  <c:v>26.345970308225219</c:v>
                </c:pt>
                <c:pt idx="201">
                  <c:v>26.151747906377146</c:v>
                </c:pt>
                <c:pt idx="202">
                  <c:v>25.95727285866079</c:v>
                </c:pt>
                <c:pt idx="203">
                  <c:v>25.762555930960161</c:v>
                </c:pt>
                <c:pt idx="204">
                  <c:v>25.567607457092997</c:v>
                </c:pt>
                <c:pt idx="205">
                  <c:v>25.372437353964649</c:v>
                </c:pt>
                <c:pt idx="206">
                  <c:v>25.177055136387601</c:v>
                </c:pt>
                <c:pt idx="207">
                  <c:v>24.981469931556628</c:v>
                </c:pt>
                <c:pt idx="208">
                  <c:v>24.785690493168516</c:v>
                </c:pt>
                <c:pt idx="209">
                  <c:v>24.589725215181414</c:v>
                </c:pt>
                <c:pt idx="210">
                  <c:v>24.393582145206786</c:v>
                </c:pt>
                <c:pt idx="211">
                  <c:v>24.197268997532852</c:v>
                </c:pt>
                <c:pt idx="212">
                  <c:v>24.000793165775917</c:v>
                </c:pt>
                <c:pt idx="213">
                  <c:v>23.80416173516036</c:v>
                </c:pt>
                <c:pt idx="214">
                  <c:v>23.60738149442885</c:v>
                </c:pt>
                <c:pt idx="215">
                  <c:v>23.410458947383916</c:v>
                </c:pt>
                <c:pt idx="216">
                  <c:v>23.213400324064523</c:v>
                </c:pt>
                <c:pt idx="217">
                  <c:v>23.016211591562673</c:v>
                </c:pt>
                <c:pt idx="218">
                  <c:v>22.818898464483027</c:v>
                </c:pt>
                <c:pt idx="219">
                  <c:v>22.621466415053352</c:v>
                </c:pt>
                <c:pt idx="220">
                  <c:v>22.423920682889992</c:v>
                </c:pt>
                <c:pt idx="221">
                  <c:v>22.226266284426416</c:v>
                </c:pt>
                <c:pt idx="222">
                  <c:v>22.028508022010715</c:v>
                </c:pt>
                <c:pt idx="223">
                  <c:v>21.830650492680945</c:v>
                </c:pt>
                <c:pt idx="224">
                  <c:v>21.632698096623887</c:v>
                </c:pt>
                <c:pt idx="225">
                  <c:v>21.434655045327645</c:v>
                </c:pt>
                <c:pt idx="226">
                  <c:v>21.236525369433494</c:v>
                </c:pt>
                <c:pt idx="227">
                  <c:v>21.038312926297174</c:v>
                </c:pt>
                <c:pt idx="228">
                  <c:v>20.840021407268189</c:v>
                </c:pt>
                <c:pt idx="229">
                  <c:v>20.641654344691688</c:v>
                </c:pt>
                <c:pt idx="230">
                  <c:v>20.443215118647103</c:v>
                </c:pt>
                <c:pt idx="231">
                  <c:v>20.24470696342572</c:v>
                </c:pt>
                <c:pt idx="232">
                  <c:v>20.046132973761772</c:v>
                </c:pt>
                <c:pt idx="233">
                  <c:v>19.847496110817985</c:v>
                </c:pt>
                <c:pt idx="234">
                  <c:v>19.648799207940804</c:v>
                </c:pt>
                <c:pt idx="235">
                  <c:v>19.450044976187979</c:v>
                </c:pt>
                <c:pt idx="236">
                  <c:v>19.251236009638969</c:v>
                </c:pt>
                <c:pt idx="237">
                  <c:v>19.052374790495517</c:v>
                </c:pt>
                <c:pt idx="238">
                  <c:v>18.853463693978881</c:v>
                </c:pt>
                <c:pt idx="239">
                  <c:v>18.654504993033044</c:v>
                </c:pt>
                <c:pt idx="240">
                  <c:v>18.455500862839045</c:v>
                </c:pt>
                <c:pt idx="241">
                  <c:v>18.256453385148518</c:v>
                </c:pt>
                <c:pt idx="242">
                  <c:v>18.057364552444394</c:v>
                </c:pt>
                <c:pt idx="243">
                  <c:v>17.8582362719334</c:v>
                </c:pt>
                <c:pt idx="244">
                  <c:v>17.659070369378028</c:v>
                </c:pt>
                <c:pt idx="245">
                  <c:v>17.459868592774882</c:v>
                </c:pt>
                <c:pt idx="246">
                  <c:v>17.260632615883939</c:v>
                </c:pt>
                <c:pt idx="247">
                  <c:v>17.061364041617495</c:v>
                </c:pt>
                <c:pt idx="248">
                  <c:v>16.862064405290845</c:v>
                </c:pt>
                <c:pt idx="249">
                  <c:v>16.66273517774416</c:v>
                </c:pt>
                <c:pt idx="250">
                  <c:v>16.463377768338571</c:v>
                </c:pt>
                <c:pt idx="251">
                  <c:v>16.263993527832636</c:v>
                </c:pt>
                <c:pt idx="252">
                  <c:v>16.064583751145033</c:v>
                </c:pt>
                <c:pt idx="253">
                  <c:v>15.865149680006352</c:v>
                </c:pt>
                <c:pt idx="254">
                  <c:v>15.665692505507749</c:v>
                </c:pt>
                <c:pt idx="255">
                  <c:v>15.466213370548543</c:v>
                </c:pt>
                <c:pt idx="256">
                  <c:v>15.266713372189564</c:v>
                </c:pt>
                <c:pt idx="257">
                  <c:v>15.067193563913932</c:v>
                </c:pt>
                <c:pt idx="258">
                  <c:v>14.867654957802552</c:v>
                </c:pt>
                <c:pt idx="259">
                  <c:v>14.668098526626121</c:v>
                </c:pt>
                <c:pt idx="260">
                  <c:v>14.468525205858761</c:v>
                </c:pt>
                <c:pt idx="261">
                  <c:v>14.268935895616863</c:v>
                </c:pt>
                <c:pt idx="262">
                  <c:v>14.0693314625266</c:v>
                </c:pt>
                <c:pt idx="263">
                  <c:v>13.869712741524422</c:v>
                </c:pt>
                <c:pt idx="264">
                  <c:v>13.670080537593137</c:v>
                </c:pt>
                <c:pt idx="265">
                  <c:v>13.470435627437832</c:v>
                </c:pt>
                <c:pt idx="266">
                  <c:v>13.270778761104289</c:v>
                </c:pt>
                <c:pt idx="267">
                  <c:v>13.071110663543104</c:v>
                </c:pt>
                <c:pt idx="268">
                  <c:v>12.871432036123419</c:v>
                </c:pt>
                <c:pt idx="269">
                  <c:v>12.671743558098008</c:v>
                </c:pt>
                <c:pt idx="270">
                  <c:v>12.472045888023931</c:v>
                </c:pt>
                <c:pt idx="271">
                  <c:v>12.272339665140246</c:v>
                </c:pt>
                <c:pt idx="272">
                  <c:v>12.072625510706922</c:v>
                </c:pt>
                <c:pt idx="273">
                  <c:v>11.872904029306534</c:v>
                </c:pt>
                <c:pt idx="274">
                  <c:v>11.67317581011217</c:v>
                </c:pt>
                <c:pt idx="275">
                  <c:v>11.473441428123559</c:v>
                </c:pt>
                <c:pt idx="276">
                  <c:v>11.273701445373796</c:v>
                </c:pt>
                <c:pt idx="277">
                  <c:v>11.073956412110617</c:v>
                </c:pt>
                <c:pt idx="278">
                  <c:v>10.874206867951751</c:v>
                </c:pt>
                <c:pt idx="279">
                  <c:v>10.674453343020092</c:v>
                </c:pt>
                <c:pt idx="280">
                  <c:v>10.47469635905826</c:v>
                </c:pt>
                <c:pt idx="281">
                  <c:v>10.274936430526209</c:v>
                </c:pt>
                <c:pt idx="282">
                  <c:v>10.075174065684322</c:v>
                </c:pt>
                <c:pt idx="283">
                  <c:v>9.875409767662882</c:v>
                </c:pt>
                <c:pt idx="284">
                  <c:v>9.6756440355215325</c:v>
                </c:pt>
                <c:pt idx="285">
                  <c:v>9.4758773653005015</c:v>
                </c:pt>
                <c:pt idx="286">
                  <c:v>9.2761102510653419</c:v>
                </c:pt>
                <c:pt idx="287">
                  <c:v>9.0763431859472838</c:v>
                </c:pt>
                <c:pt idx="288">
                  <c:v>8.8765766631822434</c:v>
                </c:pt>
                <c:pt idx="289">
                  <c:v>8.6768111771499861</c:v>
                </c:pt>
                <c:pt idx="290">
                  <c:v>8.4770472244155108</c:v>
                </c:pt>
                <c:pt idx="291">
                  <c:v>8.2772853047744928</c:v>
                </c:pt>
                <c:pt idx="292">
                  <c:v>8.0775259223064264</c:v>
                </c:pt>
                <c:pt idx="293">
                  <c:v>7.8777695864357966</c:v>
                </c:pt>
                <c:pt idx="294">
                  <c:v>7.6780168130043593</c:v>
                </c:pt>
                <c:pt idx="295">
                  <c:v>7.4782681253572045</c:v>
                </c:pt>
                <c:pt idx="296">
                  <c:v>7.2785240554435573</c:v>
                </c:pt>
                <c:pt idx="297">
                  <c:v>7.0787851449359094</c:v>
                </c:pt>
                <c:pt idx="298">
                  <c:v>6.8790519463686328</c:v>
                </c:pt>
                <c:pt idx="299">
                  <c:v>6.6793250242995938</c:v>
                </c:pt>
                <c:pt idx="300">
                  <c:v>6.4796049564956091</c:v>
                </c:pt>
                <c:pt idx="301">
                  <c:v>6.2798923351460729</c:v>
                </c:pt>
                <c:pt idx="302">
                  <c:v>6.0801877681051959</c:v>
                </c:pt>
                <c:pt idx="303">
                  <c:v>5.8804918801672423</c:v>
                </c:pt>
                <c:pt idx="304">
                  <c:v>5.6808053143757089</c:v>
                </c:pt>
                <c:pt idx="305">
                  <c:v>5.4811287333706824</c:v>
                </c:pt>
                <c:pt idx="306">
                  <c:v>5.2814628207753334</c:v>
                </c:pt>
                <c:pt idx="307">
                  <c:v>5.081808282626171</c:v>
                </c:pt>
                <c:pt idx="308">
                  <c:v>4.8821658488481603</c:v>
                </c:pt>
                <c:pt idx="309">
                  <c:v>4.6825362747796131</c:v>
                </c:pt>
                <c:pt idx="310">
                  <c:v>4.4829203427472155</c:v>
                </c:pt>
                <c:pt idx="311">
                  <c:v>4.2833188636977484</c:v>
                </c:pt>
                <c:pt idx="312">
                  <c:v>4.0837326788860038</c:v>
                </c:pt>
                <c:pt idx="313">
                  <c:v>3.8841626616254681</c:v>
                </c:pt>
                <c:pt idx="314">
                  <c:v>3.6846097191030509</c:v>
                </c:pt>
                <c:pt idx="315">
                  <c:v>3.4850747942622635</c:v>
                </c:pt>
                <c:pt idx="316">
                  <c:v>3.2855588677586574</c:v>
                </c:pt>
                <c:pt idx="317">
                  <c:v>3.0860629599903753</c:v>
                </c:pt>
                <c:pt idx="318">
                  <c:v>2.8865881332091603</c:v>
                </c:pt>
                <c:pt idx="319">
                  <c:v>2.6871354937143455</c:v>
                </c:pt>
                <c:pt idx="320">
                  <c:v>2.4877061941349328</c:v>
                </c:pt>
                <c:pt idx="321">
                  <c:v>2.2883014358038278</c:v>
                </c:pt>
                <c:pt idx="322">
                  <c:v>2.0889224712286358</c:v>
                </c:pt>
                <c:pt idx="323">
                  <c:v>1.8895706066639293</c:v>
                </c:pt>
                <c:pt idx="324">
                  <c:v>1.6902472047884052</c:v>
                </c:pt>
                <c:pt idx="325">
                  <c:v>1.490953687494021</c:v>
                </c:pt>
                <c:pt idx="326">
                  <c:v>1.2916915387911823</c:v>
                </c:pt>
                <c:pt idx="327">
                  <c:v>1.0924623078330664</c:v>
                </c:pt>
                <c:pt idx="328">
                  <c:v>0.89326761206975069</c:v>
                </c:pt>
                <c:pt idx="329">
                  <c:v>0.69410914053066886</c:v>
                </c:pt>
                <c:pt idx="330">
                  <c:v>0.49498865724903462</c:v>
                </c:pt>
                <c:pt idx="331">
                  <c:v>0.29590800482623425</c:v>
                </c:pt>
                <c:pt idx="332">
                  <c:v>9.6869108149030478E-2</c:v>
                </c:pt>
                <c:pt idx="333">
                  <c:v>-0.10212602173868662</c:v>
                </c:pt>
                <c:pt idx="334">
                  <c:v>-0.30107528360051328</c:v>
                </c:pt>
                <c:pt idx="335">
                  <c:v>-0.49997648180319626</c:v>
                </c:pt>
                <c:pt idx="336">
                  <c:v>-0.69882732193529518</c:v>
                </c:pt>
                <c:pt idx="337">
                  <c:v>-0.89762540624438847</c:v>
                </c:pt>
                <c:pt idx="338">
                  <c:v>-1.0963682288813545</c:v>
                </c:pt>
                <c:pt idx="339">
                  <c:v>-1.2950531709486928</c:v>
                </c:pt>
                <c:pt idx="340">
                  <c:v>-1.4936774953423528</c:v>
                </c:pt>
                <c:pt idx="341">
                  <c:v>-1.6922383413808653</c:v>
                </c:pt>
                <c:pt idx="342">
                  <c:v>-1.8907327192133256</c:v>
                </c:pt>
                <c:pt idx="343">
                  <c:v>-2.0891575039980155</c:v>
                </c:pt>
                <c:pt idx="344">
                  <c:v>-2.2875094298446923</c:v>
                </c:pt>
                <c:pt idx="345">
                  <c:v>-2.4857850835101174</c:v>
                </c:pt>
                <c:pt idx="346">
                  <c:v>-2.6839808978410069</c:v>
                </c:pt>
                <c:pt idx="347">
                  <c:v>-2.8820931449534468</c:v>
                </c:pt>
                <c:pt idx="348">
                  <c:v>-3.0801179291427108</c:v>
                </c:pt>
                <c:pt idx="349">
                  <c:v>-3.2780511795126928</c:v>
                </c:pt>
                <c:pt idx="350">
                  <c:v>-3.4758886423177984</c:v>
                </c:pt>
                <c:pt idx="351">
                  <c:v>-3.6736258730080582</c:v>
                </c:pt>
                <c:pt idx="352">
                  <c:v>-3.8712582279699639</c:v>
                </c:pt>
                <c:pt idx="353">
                  <c:v>-4.0687808559530145</c:v>
                </c:pt>
                <c:pt idx="354">
                  <c:v>-4.2661886891754284</c:v>
                </c:pt>
                <c:pt idx="355">
                  <c:v>-4.4634764340994595</c:v>
                </c:pt>
                <c:pt idx="356">
                  <c:v>-4.6606385618704742</c:v>
                </c:pt>
                <c:pt idx="357">
                  <c:v>-4.8576692984101211</c:v>
                </c:pt>
                <c:pt idx="358">
                  <c:v>-5.0545626141584936</c:v>
                </c:pt>
                <c:pt idx="359">
                  <c:v>-5.2513122134567611</c:v>
                </c:pt>
                <c:pt idx="360">
                  <c:v>-5.4479115235667352</c:v>
                </c:pt>
                <c:pt idx="361">
                  <c:v>-5.6443536833194505</c:v>
                </c:pt>
                <c:pt idx="362">
                  <c:v>-5.8406315313894908</c:v>
                </c:pt>
                <c:pt idx="363">
                  <c:v>-6.0367375941917922</c:v>
                </c:pt>
                <c:pt idx="364">
                  <c:v>-6.2326640733961209</c:v>
                </c:pt>
                <c:pt idx="365">
                  <c:v>-6.4284028330596152</c:v>
                </c:pt>
                <c:pt idx="366">
                  <c:v>-6.6239453863765272</c:v>
                </c:pt>
                <c:pt idx="367">
                  <c:v>-6.8192828820444014</c:v>
                </c:pt>
                <c:pt idx="368">
                  <c:v>-7.0144060902521836</c:v>
                </c:pt>
                <c:pt idx="369">
                  <c:v>-7.2093053882919982</c:v>
                </c:pt>
                <c:pt idx="370">
                  <c:v>-7.4039707458022868</c:v>
                </c:pt>
                <c:pt idx="371">
                  <c:v>-7.5983917096500742</c:v>
                </c:pt>
                <c:pt idx="372">
                  <c:v>-7.7925573884640702</c:v>
                </c:pt>
                <c:pt idx="373">
                  <c:v>-7.9864564368301041</c:v>
                </c:pt>
                <c:pt idx="374">
                  <c:v>-8.1800770391677773</c:v>
                </c:pt>
                <c:pt idx="375">
                  <c:v>-8.3734068933051624</c:v>
                </c:pt>
                <c:pt idx="376">
                  <c:v>-8.5664331937764384</c:v>
                </c:pt>
                <c:pt idx="377">
                  <c:v>-8.7591426148668621</c:v>
                </c:pt>
                <c:pt idx="378">
                  <c:v>-8.951521293437672</c:v>
                </c:pt>
                <c:pt idx="379">
                  <c:v>-9.1435548115638969</c:v>
                </c:pt>
                <c:pt idx="380">
                  <c:v>-9.3352281790259255</c:v>
                </c:pt>
                <c:pt idx="381">
                  <c:v>-9.5265258156970329</c:v>
                </c:pt>
                <c:pt idx="382">
                  <c:v>-9.7174315338801183</c:v>
                </c:pt>
                <c:pt idx="383">
                  <c:v>-9.9079285206450383</c:v>
                </c:pt>
                <c:pt idx="384">
                  <c:v>-10.097999320231255</c:v>
                </c:pt>
                <c:pt idx="385">
                  <c:v>-10.28762581658132</c:v>
                </c:pt>
                <c:pt idx="386">
                  <c:v>-10.476789216081233</c:v>
                </c:pt>
                <c:pt idx="387">
                  <c:v>-10.665470030589269</c:v>
                </c:pt>
                <c:pt idx="388">
                  <c:v>-10.853648060841564</c:v>
                </c:pt>
                <c:pt idx="389">
                  <c:v>-11.041302380332228</c:v>
                </c:pt>
                <c:pt idx="390">
                  <c:v>-11.228411319773581</c:v>
                </c:pt>
                <c:pt idx="391">
                  <c:v>-11.414952452248382</c:v>
                </c:pt>
                <c:pt idx="392">
                  <c:v>-11.600902579178188</c:v>
                </c:pt>
                <c:pt idx="393">
                  <c:v>-11.786237717237093</c:v>
                </c:pt>
                <c:pt idx="394">
                  <c:v>-11.970933086351492</c:v>
                </c:pt>
                <c:pt idx="395">
                  <c:v>-12.15496309893561</c:v>
                </c:pt>
                <c:pt idx="396">
                  <c:v>-12.338301350518845</c:v>
                </c:pt>
                <c:pt idx="397">
                  <c:v>-12.520920611934397</c:v>
                </c:pt>
                <c:pt idx="398">
                  <c:v>-12.702792823242524</c:v>
                </c:pt>
                <c:pt idx="399">
                  <c:v>-12.88388908957576</c:v>
                </c:pt>
                <c:pt idx="400">
                  <c:v>-13.064179679095604</c:v>
                </c:pt>
                <c:pt idx="401">
                  <c:v>-13.243634023263414</c:v>
                </c:pt>
                <c:pt idx="402">
                  <c:v>-13.422220719631282</c:v>
                </c:pt>
                <c:pt idx="403">
                  <c:v>-13.599907537366864</c:v>
                </c:pt>
                <c:pt idx="404">
                  <c:v>-13.776661425730843</c:v>
                </c:pt>
                <c:pt idx="405">
                  <c:v>-13.952448525728816</c:v>
                </c:pt>
                <c:pt idx="406">
                  <c:v>-14.127234185164017</c:v>
                </c:pt>
                <c:pt idx="407">
                  <c:v>-14.300982977316018</c:v>
                </c:pt>
                <c:pt idx="408">
                  <c:v>-14.47365872347236</c:v>
                </c:pt>
                <c:pt idx="409">
                  <c:v>-14.645224519535384</c:v>
                </c:pt>
                <c:pt idx="410">
                  <c:v>-14.815642766923933</c:v>
                </c:pt>
                <c:pt idx="411">
                  <c:v>-14.984875207980313</c:v>
                </c:pt>
                <c:pt idx="412">
                  <c:v>-15.152882966086931</c:v>
                </c:pt>
                <c:pt idx="413">
                  <c:v>-15.319626590680809</c:v>
                </c:pt>
                <c:pt idx="414">
                  <c:v>-15.48506610734294</c:v>
                </c:pt>
                <c:pt idx="415">
                  <c:v>-15.649161073120856</c:v>
                </c:pt>
                <c:pt idx="416">
                  <c:v>-15.811870637220499</c:v>
                </c:pt>
                <c:pt idx="417">
                  <c:v>-15.973153607183404</c:v>
                </c:pt>
                <c:pt idx="418">
                  <c:v>-16.132968520634932</c:v>
                </c:pt>
                <c:pt idx="419">
                  <c:v>-16.291273722664645</c:v>
                </c:pt>
                <c:pt idx="420">
                  <c:v>-16.448027448863318</c:v>
                </c:pt>
                <c:pt idx="421">
                  <c:v>-16.603187914010533</c:v>
                </c:pt>
                <c:pt idx="422">
                  <c:v>-16.756713406368615</c:v>
                </c:pt>
                <c:pt idx="423">
                  <c:v>-16.908562387501355</c:v>
                </c:pt>
                <c:pt idx="424">
                  <c:v>-17.058693597495044</c:v>
                </c:pt>
                <c:pt idx="425">
                  <c:v>-17.207066165421107</c:v>
                </c:pt>
                <c:pt idx="426">
                  <c:v>-17.353639724838942</c:v>
                </c:pt>
                <c:pt idx="427">
                  <c:v>-17.49837453409577</c:v>
                </c:pt>
                <c:pt idx="428">
                  <c:v>-17.641231601144387</c:v>
                </c:pt>
                <c:pt idx="429">
                  <c:v>-17.782172812565552</c:v>
                </c:pt>
                <c:pt idx="430">
                  <c:v>-17.921161066441421</c:v>
                </c:pt>
                <c:pt idx="431">
                  <c:v>-18.058160408709739</c:v>
                </c:pt>
                <c:pt idx="432">
                  <c:v>-18.193136172592411</c:v>
                </c:pt>
                <c:pt idx="433">
                  <c:v>-18.326055120687595</c:v>
                </c:pt>
                <c:pt idx="434">
                  <c:v>-18.456885589294536</c:v>
                </c:pt>
                <c:pt idx="435">
                  <c:v>-18.58559763454576</c:v>
                </c:pt>
                <c:pt idx="436">
                  <c:v>-18.712163179927042</c:v>
                </c:pt>
                <c:pt idx="437">
                  <c:v>-18.836556164782692</c:v>
                </c:pt>
                <c:pt idx="438">
                  <c:v>-18.958752693435926</c:v>
                </c:pt>
                <c:pt idx="439">
                  <c:v>-19.07873118459116</c:v>
                </c:pt>
                <c:pt idx="440">
                  <c:v>-19.196472520741001</c:v>
                </c:pt>
                <c:pt idx="441">
                  <c:v>-19.31196019736408</c:v>
                </c:pt>
                <c:pt idx="442">
                  <c:v>-19.425180471778379</c:v>
                </c:pt>
                <c:pt idx="443">
                  <c:v>-19.536122511603907</c:v>
                </c:pt>
                <c:pt idx="444">
                  <c:v>-19.644778542892816</c:v>
                </c:pt>
                <c:pt idx="445">
                  <c:v>-19.751143998095994</c:v>
                </c:pt>
                <c:pt idx="446">
                  <c:v>-19.855217664161515</c:v>
                </c:pt>
                <c:pt idx="447">
                  <c:v>-19.957001831192809</c:v>
                </c:pt>
                <c:pt idx="448">
                  <c:v>-20.056502442237495</c:v>
                </c:pt>
                <c:pt idx="449">
                  <c:v>-20.153729244924158</c:v>
                </c:pt>
                <c:pt idx="450">
                  <c:v>-20.248695945818227</c:v>
                </c:pt>
                <c:pt idx="451">
                  <c:v>-20.341420368521934</c:v>
                </c:pt>
                <c:pt idx="452">
                  <c:v>-20.431924616696385</c:v>
                </c:pt>
                <c:pt idx="453">
                  <c:v>-20.52023524333444</c:v>
                </c:pt>
                <c:pt idx="454">
                  <c:v>-20.606383427753695</c:v>
                </c:pt>
                <c:pt idx="455">
                  <c:v>-20.690405161911642</c:v>
                </c:pt>
                <c:pt idx="456">
                  <c:v>-20.772341447758585</c:v>
                </c:pt>
                <c:pt idx="457">
                  <c:v>-20.852238507439033</c:v>
                </c:pt>
                <c:pt idx="458">
                  <c:v>-20.930148008218971</c:v>
                </c:pt>
                <c:pt idx="459">
                  <c:v>-21.006127304050789</c:v>
                </c:pt>
                <c:pt idx="460">
                  <c:v>-21.080239695683112</c:v>
                </c:pt>
                <c:pt idx="461">
                  <c:v>-21.152554711163148</c:v>
                </c:pt>
                <c:pt idx="462">
                  <c:v>-21.223148408470564</c:v>
                </c:pt>
                <c:pt idx="463">
                  <c:v>-21.292103701833959</c:v>
                </c:pt>
                <c:pt idx="464">
                  <c:v>-21.359510713017599</c:v>
                </c:pt>
                <c:pt idx="465">
                  <c:v>-21.425467148505881</c:v>
                </c:pt>
                <c:pt idx="466">
                  <c:v>-21.490078703040481</c:v>
                </c:pt>
                <c:pt idx="467">
                  <c:v>-21.55345948936877</c:v>
                </c:pt>
                <c:pt idx="468">
                  <c:v>-21.615732493317399</c:v>
                </c:pt>
                <c:pt idx="469">
                  <c:v>-21.677030052400674</c:v>
                </c:pt>
                <c:pt idx="470">
                  <c:v>-21.737494355084092</c:v>
                </c:pt>
                <c:pt idx="471">
                  <c:v>-21.79727795653498</c:v>
                </c:pt>
                <c:pt idx="472">
                  <c:v>-21.856544305186134</c:v>
                </c:pt>
                <c:pt idx="473">
                  <c:v>-21.915468272703983</c:v>
                </c:pt>
                <c:pt idx="474">
                  <c:v>-21.974236677975121</c:v>
                </c:pt>
                <c:pt idx="475">
                  <c:v>-22.033048793515825</c:v>
                </c:pt>
                <c:pt idx="476">
                  <c:v>-22.092116820268174</c:v>
                </c:pt>
                <c:pt idx="477">
                  <c:v>-22.151666314105661</c:v>
                </c:pt>
                <c:pt idx="478">
                  <c:v>-22.211936544577693</c:v>
                </c:pt>
                <c:pt idx="479">
                  <c:v>-22.273180763539635</c:v>
                </c:pt>
                <c:pt idx="480">
                  <c:v>-22.33566635844927</c:v>
                </c:pt>
                <c:pt idx="481">
                  <c:v>-22.399674862382462</c:v>
                </c:pt>
                <c:pt idx="482">
                  <c:v>-22.465501790410865</c:v>
                </c:pt>
                <c:pt idx="483">
                  <c:v>-22.533456270086731</c:v>
                </c:pt>
                <c:pt idx="484">
                  <c:v>-22.603860432645426</c:v>
                </c:pt>
                <c:pt idx="485">
                  <c:v>-22.677048531438082</c:v>
                </c:pt>
                <c:pt idx="486">
                  <c:v>-22.75336575534519</c:v>
                </c:pt>
                <c:pt idx="487">
                  <c:v>-22.833166707798227</c:v>
                </c:pt>
                <c:pt idx="488">
                  <c:v>-22.916813526846923</c:v>
                </c:pt>
                <c:pt idx="489">
                  <c:v>-23.004673628689986</c:v>
                </c:pt>
                <c:pt idx="490">
                  <c:v>-23.097117066403943</c:v>
                </c:pt>
                <c:pt idx="491">
                  <c:v>-23.194513507290701</c:v>
                </c:pt>
                <c:pt idx="492">
                  <c:v>-23.297228846198024</c:v>
                </c:pt>
                <c:pt idx="493">
                  <c:v>-23.405621488013516</c:v>
                </c:pt>
                <c:pt idx="494">
                  <c:v>-23.520038349743693</c:v>
                </c:pt>
                <c:pt idx="495">
                  <c:v>-23.640810650365097</c:v>
                </c:pt>
                <c:pt idx="496">
                  <c:v>-23.768249573969548</c:v>
                </c:pt>
                <c:pt idx="497">
                  <c:v>-23.902641907430052</c:v>
                </c:pt>
                <c:pt idx="498">
                  <c:v>-24.044245766612562</c:v>
                </c:pt>
                <c:pt idx="499">
                  <c:v>-24.193286533787223</c:v>
                </c:pt>
                <c:pt idx="500">
                  <c:v>-24.349953132223146</c:v>
                </c:pt>
                <c:pt idx="501">
                  <c:v>-24.514394761150562</c:v>
                </c:pt>
                <c:pt idx="502">
                  <c:v>-24.686718204894611</c:v>
                </c:pt>
                <c:pt idx="503">
                  <c:v>-24.866985814097969</c:v>
                </c:pt>
                <c:pt idx="504">
                  <c:v>-25.055214235153475</c:v>
                </c:pt>
                <c:pt idx="505">
                  <c:v>-25.251373937405091</c:v>
                </c:pt>
                <c:pt idx="506">
                  <c:v>-25.455389557927433</c:v>
                </c:pt>
                <c:pt idx="507">
                  <c:v>-25.667141052651964</c:v>
                </c:pt>
                <c:pt idx="508">
                  <c:v>-25.886465612298039</c:v>
                </c:pt>
                <c:pt idx="509">
                  <c:v>-26.113160273927033</c:v>
                </c:pt>
                <c:pt idx="510">
                  <c:v>-26.346985135664404</c:v>
                </c:pt>
                <c:pt idx="511">
                  <c:v>-26.587667064495044</c:v>
                </c:pt>
                <c:pt idx="512">
                  <c:v>-26.834903775786078</c:v>
                </c:pt>
                <c:pt idx="513">
                  <c:v>-27.0883681585548</c:v>
                </c:pt>
                <c:pt idx="514">
                  <c:v>-27.347712722151165</c:v>
                </c:pt>
                <c:pt idx="515">
                  <c:v>-27.61257404724271</c:v>
                </c:pt>
                <c:pt idx="516">
                  <c:v>-27.882577135708377</c:v>
                </c:pt>
                <c:pt idx="517">
                  <c:v>-28.157339569024575</c:v>
                </c:pt>
                <c:pt idx="518">
                  <c:v>-28.436475401690188</c:v>
                </c:pt>
                <c:pt idx="519">
                  <c:v>-28.719598733950193</c:v>
                </c:pt>
                <c:pt idx="520">
                  <c:v>-29.006326925490828</c:v>
                </c:pt>
                <c:pt idx="521">
                  <c:v>-29.296283428025873</c:v>
                </c:pt>
                <c:pt idx="522">
                  <c:v>-29.589100229160863</c:v>
                </c:pt>
                <c:pt idx="523">
                  <c:v>-29.884419912217325</c:v>
                </c:pt>
                <c:pt idx="524">
                  <c:v>-30.181897346643506</c:v>
                </c:pt>
                <c:pt idx="525">
                  <c:v>-30.481201031231635</c:v>
                </c:pt>
                <c:pt idx="526">
                  <c:v>-30.782014117733667</c:v>
                </c:pt>
                <c:pt idx="527">
                  <c:v>-31.084035145846201</c:v>
                </c:pt>
                <c:pt idx="528">
                  <c:v>-31.386978522190905</c:v>
                </c:pt>
                <c:pt idx="529">
                  <c:v>-31.690574776177677</c:v>
                </c:pt>
                <c:pt idx="530">
                  <c:v>-31.994570624767849</c:v>
                </c:pt>
                <c:pt idx="531">
                  <c:v>-32.298728876489669</c:v>
                </c:pt>
                <c:pt idx="532">
                  <c:v>-32.60282820279425</c:v>
                </c:pt>
                <c:pt idx="533">
                  <c:v>-32.906662802250224</c:v>
                </c:pt>
                <c:pt idx="534">
                  <c:v>-33.210041980286292</c:v>
                </c:pt>
                <c:pt idx="535">
                  <c:v>-33.51278966438835</c:v>
                </c:pt>
                <c:pt idx="536">
                  <c:v>-33.814743871911688</c:v>
                </c:pt>
                <c:pt idx="537">
                  <c:v>-34.115756145084028</c:v>
                </c:pt>
                <c:pt idx="538">
                  <c:v>-34.415690965375212</c:v>
                </c:pt>
                <c:pt idx="539">
                  <c:v>-34.714425157253984</c:v>
                </c:pt>
                <c:pt idx="540">
                  <c:v>-35.011847289424267</c:v>
                </c:pt>
                <c:pt idx="541">
                  <c:v>-35.307857079959817</c:v>
                </c:pt>
              </c:numCache>
            </c:numRef>
          </c:yVal>
          <c:smooth val="1"/>
          <c:extLst>
            <c:ext xmlns:c16="http://schemas.microsoft.com/office/drawing/2014/chart" uri="{C3380CC4-5D6E-409C-BE32-E72D297353CC}">
              <c16:uniqueId val="{00000000-B561-4C80-890B-643E0BF90D63}"/>
            </c:ext>
          </c:extLst>
        </c:ser>
        <c:dLbls>
          <c:showLegendKey val="0"/>
          <c:showVal val="0"/>
          <c:showCatName val="0"/>
          <c:showSerName val="0"/>
          <c:showPercent val="0"/>
          <c:showBubbleSize val="0"/>
        </c:dLbls>
        <c:axId val="162497664"/>
        <c:axId val="162499584"/>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-3.2835827100095378</c:v>
                </c:pt>
                <c:pt idx="1">
                  <c:v>-3.3598943216432189</c:v>
                </c:pt>
                <c:pt idx="2">
                  <c:v>-3.4379711317040078</c:v>
                </c:pt>
                <c:pt idx="3">
                  <c:v>-3.5178533795733768</c:v>
                </c:pt>
                <c:pt idx="4">
                  <c:v>-3.599582179698146</c:v>
                </c:pt>
                <c:pt idx="5">
                  <c:v>-3.6831995375857991</c:v>
                </c:pt>
                <c:pt idx="6">
                  <c:v>-3.7687483658658447</c:v>
                </c:pt>
                <c:pt idx="7">
                  <c:v>-3.8562725003982741</c:v>
                </c:pt>
                <c:pt idx="8">
                  <c:v>-3.9458167164076356</c:v>
                </c:pt>
                <c:pt idx="9">
                  <c:v>-4.0374267446196113</c:v>
                </c:pt>
                <c:pt idx="10">
                  <c:v>-4.1311492873742344</c:v>
                </c:pt>
                <c:pt idx="11">
                  <c:v>-4.2270320346890609</c:v>
                </c:pt>
                <c:pt idx="12">
                  <c:v>-4.3251236802412771</c:v>
                </c:pt>
                <c:pt idx="13">
                  <c:v>-4.425473937236724</c:v>
                </c:pt>
                <c:pt idx="14">
                  <c:v>-4.5281335541303234</c:v>
                </c:pt>
                <c:pt idx="15">
                  <c:v>-4.6331543301597398</c:v>
                </c:pt>
                <c:pt idx="16">
                  <c:v>-4.7405891306505517</c:v>
                </c:pt>
                <c:pt idx="17">
                  <c:v>-4.8504919020489039</c:v>
                </c:pt>
                <c:pt idx="18">
                  <c:v>-4.9629176866324691</c:v>
                </c:pt>
                <c:pt idx="19">
                  <c:v>-5.077922636848756</c:v>
                </c:pt>
                <c:pt idx="20">
                  <c:v>-5.1955640292240819</c:v>
                </c:pt>
                <c:pt idx="21">
                  <c:v>-5.3159002777835953</c:v>
                </c:pt>
                <c:pt idx="22">
                  <c:v>-5.4389909469167392</c:v>
                </c:pt>
                <c:pt idx="23">
                  <c:v>-5.564896763620589</c:v>
                </c:pt>
                <c:pt idx="24">
                  <c:v>-5.693679629044329</c:v>
                </c:pt>
                <c:pt idx="25">
                  <c:v>-5.8254026292576304</c:v>
                </c:pt>
                <c:pt idx="26">
                  <c:v>-5.9601300451553358</c:v>
                </c:pt>
                <c:pt idx="27">
                  <c:v>-6.0979273614094938</c:v>
                </c:pt>
                <c:pt idx="28">
                  <c:v>-6.2388612743692109</c:v>
                </c:pt>
                <c:pt idx="29">
                  <c:v>-6.3829996988065716</c:v>
                </c:pt>
                <c:pt idx="30">
                  <c:v>-6.5304117733953149</c:v>
                </c:pt>
                <c:pt idx="31">
                  <c:v>-6.6811678648077679</c:v>
                </c:pt>
                <c:pt idx="32">
                  <c:v>-6.8353395702996291</c:v>
                </c:pt>
                <c:pt idx="33">
                  <c:v>-6.9929997186544988</c:v>
                </c:pt>
                <c:pt idx="34">
                  <c:v>-7.1542223693424143</c:v>
                </c:pt>
                <c:pt idx="35">
                  <c:v>-7.3190828097428904</c:v>
                </c:pt>
                <c:pt idx="36">
                  <c:v>-7.4876575502759115</c:v>
                </c:pt>
                <c:pt idx="37">
                  <c:v>-7.6600243172671405</c:v>
                </c:pt>
                <c:pt idx="38">
                  <c:v>-7.8362620433744219</c:v>
                </c:pt>
                <c:pt idx="39">
                  <c:v>-8.0164508553831233</c:v>
                </c:pt>
                <c:pt idx="40">
                  <c:v>-8.2006720591747708</c:v>
                </c:pt>
                <c:pt idx="41">
                  <c:v>-8.3890081216577848</c:v>
                </c:pt>
                <c:pt idx="42">
                  <c:v>-8.5815426494415377</c:v>
                </c:pt>
                <c:pt idx="43">
                  <c:v>-8.7783603640220473</c:v>
                </c:pt>
                <c:pt idx="44">
                  <c:v>-8.9795470732382352</c:v>
                </c:pt>
                <c:pt idx="45">
                  <c:v>-9.1851896387430028</c:v>
                </c:pt>
                <c:pt idx="46">
                  <c:v>-9.3953759392262199</c:v>
                </c:pt>
                <c:pt idx="47">
                  <c:v>-9.6101948291113413</c:v>
                </c:pt>
                <c:pt idx="48">
                  <c:v>-9.8297360924385959</c:v>
                </c:pt>
                <c:pt idx="49">
                  <c:v>-10.054090391634928</c:v>
                </c:pt>
                <c:pt idx="50">
                  <c:v>-10.283349210860029</c:v>
                </c:pt>
                <c:pt idx="51">
                  <c:v>-10.517604793607116</c:v>
                </c:pt>
                <c:pt idx="52">
                  <c:v>-10.756950074228893</c:v>
                </c:pt>
                <c:pt idx="53">
                  <c:v>-11.00147860304533</c:v>
                </c:pt>
                <c:pt idx="54">
                  <c:v>-11.251284464683867</c:v>
                </c:pt>
                <c:pt idx="55">
                  <c:v>-11.506462189296148</c:v>
                </c:pt>
                <c:pt idx="56">
                  <c:v>-11.767106656285023</c:v>
                </c:pt>
                <c:pt idx="57">
                  <c:v>-12.033312990172643</c:v>
                </c:pt>
                <c:pt idx="58">
                  <c:v>-12.305176448237319</c:v>
                </c:pt>
                <c:pt idx="59">
                  <c:v>-12.582792299540612</c:v>
                </c:pt>
                <c:pt idx="60">
                  <c:v>-12.866255694974704</c:v>
                </c:pt>
                <c:pt idx="61">
                  <c:v>-13.155661527952505</c:v>
                </c:pt>
                <c:pt idx="62">
                  <c:v>-13.45110428537633</c:v>
                </c:pt>
                <c:pt idx="63">
                  <c:v>-13.752677888527417</c:v>
                </c:pt>
                <c:pt idx="64">
                  <c:v>-14.060475523527112</c:v>
                </c:pt>
                <c:pt idx="65">
                  <c:v>-14.374589461042428</c:v>
                </c:pt>
                <c:pt idx="66">
                  <c:v>-14.695110864922366</c:v>
                </c:pt>
                <c:pt idx="67">
                  <c:v>-15.022129589483409</c:v>
                </c:pt>
                <c:pt idx="68">
                  <c:v>-15.355733965183346</c:v>
                </c:pt>
                <c:pt idx="69">
                  <c:v>-15.696010572467317</c:v>
                </c:pt>
                <c:pt idx="70">
                  <c:v>-16.043044003604233</c:v>
                </c:pt>
                <c:pt idx="71">
                  <c:v>-16.396916612383301</c:v>
                </c:pt>
                <c:pt idx="72">
                  <c:v>-16.757708251592149</c:v>
                </c:pt>
                <c:pt idx="73">
                  <c:v>-17.125495998263567</c:v>
                </c:pt>
                <c:pt idx="74">
                  <c:v>-17.500353866741222</c:v>
                </c:pt>
                <c:pt idx="75">
                  <c:v>-17.882352509697913</c:v>
                </c:pt>
                <c:pt idx="76">
                  <c:v>-18.271558907322596</c:v>
                </c:pt>
                <c:pt idx="77">
                  <c:v>-18.668036044983257</c:v>
                </c:pt>
                <c:pt idx="78">
                  <c:v>-19.071842579782569</c:v>
                </c:pt>
                <c:pt idx="79">
                  <c:v>-19.483032496525201</c:v>
                </c:pt>
                <c:pt idx="80">
                  <c:v>-19.901654753743649</c:v>
                </c:pt>
                <c:pt idx="81">
                  <c:v>-20.327752920550388</c:v>
                </c:pt>
                <c:pt idx="82">
                  <c:v>-20.76136480522473</c:v>
                </c:pt>
                <c:pt idx="83">
                  <c:v>-21.20252207658552</c:v>
                </c:pt>
                <c:pt idx="84">
                  <c:v>-21.651249879349706</c:v>
                </c:pt>
                <c:pt idx="85">
                  <c:v>-22.107566444834529</c:v>
                </c:pt>
                <c:pt idx="86">
                  <c:v>-22.571482698525017</c:v>
                </c:pt>
                <c:pt idx="87">
                  <c:v>-23.043001866188007</c:v>
                </c:pt>
                <c:pt idx="88">
                  <c:v>-23.522119080388883</c:v>
                </c:pt>
                <c:pt idx="89">
                  <c:v>-24.008820989429676</c:v>
                </c:pt>
                <c:pt idx="90">
                  <c:v>-24.503085370895576</c:v>
                </c:pt>
                <c:pt idx="91">
                  <c:v>-25.004880752161299</c:v>
                </c:pt>
                <c:pt idx="92">
                  <c:v>-25.514166040359711</c:v>
                </c:pt>
                <c:pt idx="93">
                  <c:v>-26.030890164470936</c:v>
                </c:pt>
                <c:pt idx="94">
                  <c:v>-26.554991732316985</c:v>
                </c:pt>
                <c:pt idx="95">
                  <c:v>-27.086398705371387</c:v>
                </c:pt>
                <c:pt idx="96">
                  <c:v>-27.625028094396139</c:v>
                </c:pt>
                <c:pt idx="97">
                  <c:v>-28.170785678995685</c:v>
                </c:pt>
                <c:pt idx="98">
                  <c:v>-28.723565754236425</c:v>
                </c:pt>
                <c:pt idx="99">
                  <c:v>-29.283250907504328</c:v>
                </c:pt>
                <c:pt idx="100">
                  <c:v>-29.849711828771508</c:v>
                </c:pt>
                <c:pt idx="101">
                  <c:v>-30.422807157404236</c:v>
                </c:pt>
                <c:pt idx="102">
                  <c:v>-31.00238336856701</c:v>
                </c:pt>
                <c:pt idx="103">
                  <c:v>-31.588274702165059</c:v>
                </c:pt>
                <c:pt idx="104">
                  <c:v>-32.180303137109803</c:v>
                </c:pt>
                <c:pt idx="105">
                  <c:v>-32.778278413493062</c:v>
                </c:pt>
                <c:pt idx="106">
                  <c:v>-33.381998105013714</c:v>
                </c:pt>
                <c:pt idx="107">
                  <c:v>-33.991247743714688</c:v>
                </c:pt>
                <c:pt idx="108">
                  <c:v>-34.605800998760948</c:v>
                </c:pt>
                <c:pt idx="109">
                  <c:v>-35.225419910618037</c:v>
                </c:pt>
                <c:pt idx="110">
                  <c:v>-35.84985518158674</c:v>
                </c:pt>
                <c:pt idx="111">
                  <c:v>-36.4788465232036</c:v>
                </c:pt>
                <c:pt idx="112">
                  <c:v>-37.112123060549521</c:v>
                </c:pt>
                <c:pt idx="113">
                  <c:v>-37.749403793005932</c:v>
                </c:pt>
                <c:pt idx="114">
                  <c:v>-38.390398110485812</c:v>
                </c:pt>
                <c:pt idx="115">
                  <c:v>-39.034806363635617</c:v>
                </c:pt>
                <c:pt idx="116">
                  <c:v>-39.682320485971282</c:v>
                </c:pt>
                <c:pt idx="117">
                  <c:v>-40.332624665381203</c:v>
                </c:pt>
                <c:pt idx="118">
                  <c:v>-40.985396061908943</c:v>
                </c:pt>
                <c:pt idx="119">
                  <c:v>-41.640305568230858</c:v>
                </c:pt>
                <c:pt idx="120">
                  <c:v>-42.297018608770351</c:v>
                </c:pt>
                <c:pt idx="121">
                  <c:v>-42.955195972958272</c:v>
                </c:pt>
                <c:pt idx="122">
                  <c:v>-43.614494677753846</c:v>
                </c:pt>
                <c:pt idx="123">
                  <c:v>-44.274568854207828</c:v>
                </c:pt>
                <c:pt idx="124">
                  <c:v>-44.935070652558835</c:v>
                </c:pt>
                <c:pt idx="125">
                  <c:v>-45.595651160140854</c:v>
                </c:pt>
                <c:pt idx="126">
                  <c:v>-46.255961326224813</c:v>
                </c:pt>
                <c:pt idx="127">
                  <c:v>-46.915652887834149</c:v>
                </c:pt>
                <c:pt idx="128">
                  <c:v>-47.574379290556692</c:v>
                </c:pt>
                <c:pt idx="129">
                  <c:v>-48.231796598456079</c:v>
                </c:pt>
                <c:pt idx="130">
                  <c:v>-48.887564387281969</c:v>
                </c:pt>
                <c:pt idx="131">
                  <c:v>-49.541346615412799</c:v>
                </c:pt>
                <c:pt idx="132">
                  <c:v>-50.192812467199104</c:v>
                </c:pt>
                <c:pt idx="133">
                  <c:v>-50.841637163717621</c:v>
                </c:pt>
                <c:pt idx="134">
                  <c:v>-51.48750273630489</c:v>
                </c:pt>
                <c:pt idx="135">
                  <c:v>-52.130098758673739</c:v>
                </c:pt>
                <c:pt idx="136">
                  <c:v>-52.769123033869533</c:v>
                </c:pt>
                <c:pt idx="137">
                  <c:v>-53.404282232813138</c:v>
                </c:pt>
                <c:pt idx="138">
                  <c:v>-54.035292481696395</c:v>
                </c:pt>
                <c:pt idx="139">
                  <c:v>-54.66187989602124</c:v>
                </c:pt>
                <c:pt idx="140">
                  <c:v>-55.283781059604024</c:v>
                </c:pt>
                <c:pt idx="141">
                  <c:v>-55.900743447402782</c:v>
                </c:pt>
                <c:pt idx="142">
                  <c:v>-56.512525791544277</c:v>
                </c:pt>
                <c:pt idx="143">
                  <c:v>-57.118898390430459</c:v>
                </c:pt>
                <c:pt idx="144">
                  <c:v>-57.719643361289215</c:v>
                </c:pt>
                <c:pt idx="145">
                  <c:v>-58.314554836980292</c:v>
                </c:pt>
                <c:pt idx="146">
                  <c:v>-58.903439108294322</c:v>
                </c:pt>
                <c:pt idx="147">
                  <c:v>-59.486114713355327</c:v>
                </c:pt>
                <c:pt idx="148">
                  <c:v>-60.062412476087424</c:v>
                </c:pt>
                <c:pt idx="149">
                  <c:v>-60.632175495998247</c:v>
                </c:pt>
                <c:pt idx="150">
                  <c:v>-61.195259091795798</c:v>
                </c:pt>
                <c:pt idx="151">
                  <c:v>-61.751530701557968</c:v>
                </c:pt>
                <c:pt idx="152">
                  <c:v>-62.300869742356859</c:v>
                </c:pt>
                <c:pt idx="153">
                  <c:v>-62.843167432357859</c:v>
                </c:pt>
                <c:pt idx="154">
                  <c:v>-63.378326578503454</c:v>
                </c:pt>
                <c:pt idx="155">
                  <c:v>-63.906261332947466</c:v>
                </c:pt>
                <c:pt idx="156">
                  <c:v>-64.426896921415064</c:v>
                </c:pt>
                <c:pt idx="157">
                  <c:v>-64.940169346646186</c:v>
                </c:pt>
                <c:pt idx="158">
                  <c:v>-65.44602507003583</c:v>
                </c:pt>
                <c:pt idx="159">
                  <c:v>-65.944420674511264</c:v>
                </c:pt>
                <c:pt idx="160">
                  <c:v>-66.435322511590712</c:v>
                </c:pt>
                <c:pt idx="161">
                  <c:v>-66.918706335451546</c:v>
                </c:pt>
                <c:pt idx="162">
                  <c:v>-67.39455692670829</c:v>
                </c:pt>
                <c:pt idx="163">
                  <c:v>-67.862867708455369</c:v>
                </c:pt>
                <c:pt idx="164">
                  <c:v>-68.323640356974352</c:v>
                </c:pt>
                <c:pt idx="165">
                  <c:v>-68.776884409349151</c:v>
                </c:pt>
                <c:pt idx="166">
                  <c:v>-69.222616870061103</c:v>
                </c:pt>
                <c:pt idx="167">
                  <c:v>-69.660861818474203</c:v>
                </c:pt>
                <c:pt idx="168">
                  <c:v>-70.091650018945884</c:v>
                </c:pt>
                <c:pt idx="169">
                  <c:v>-70.515018535141166</c:v>
                </c:pt>
                <c:pt idx="170">
                  <c:v>-70.931010349956097</c:v>
                </c:pt>
                <c:pt idx="171">
                  <c:v>-71.339673992304498</c:v>
                </c:pt>
                <c:pt idx="172">
                  <c:v>-71.741063171864909</c:v>
                </c:pt>
                <c:pt idx="173">
                  <c:v>-72.135236422743915</c:v>
                </c:pt>
                <c:pt idx="174">
                  <c:v>-72.522256756866099</c:v>
                </c:pt>
                <c:pt idx="175">
                  <c:v>-72.902191327777913</c:v>
                </c:pt>
                <c:pt idx="176">
                  <c:v>-73.275111105425594</c:v>
                </c:pt>
                <c:pt idx="177">
                  <c:v>-73.641090562354535</c:v>
                </c:pt>
                <c:pt idx="178">
                  <c:v>-74.000207371673312</c:v>
                </c:pt>
                <c:pt idx="179">
                  <c:v>-74.352542117028065</c:v>
                </c:pt>
                <c:pt idx="180">
                  <c:v>-74.698178014746588</c:v>
                </c:pt>
                <c:pt idx="181">
                  <c:v>-75.037200648227653</c:v>
                </c:pt>
                <c:pt idx="182">
                  <c:v>-75.369697714585243</c:v>
                </c:pt>
                <c:pt idx="183">
                  <c:v>-75.695758783487946</c:v>
                </c:pt>
                <c:pt idx="184">
                  <c:v>-76.015475068080619</c:v>
                </c:pt>
                <c:pt idx="185">
                  <c:v>-76.328939207822884</c:v>
                </c:pt>
                <c:pt idx="186">
                  <c:v>-76.636245063039098</c:v>
                </c:pt>
                <c:pt idx="187">
                  <c:v>-76.937487520933317</c:v>
                </c:pt>
                <c:pt idx="188">
                  <c:v>-77.232762312794335</c:v>
                </c:pt>
                <c:pt idx="189">
                  <c:v>-77.522165842088214</c:v>
                </c:pt>
                <c:pt idx="190">
                  <c:v>-77.805795023114257</c:v>
                </c:pt>
                <c:pt idx="191">
                  <c:v>-78.083747129883477</c:v>
                </c:pt>
                <c:pt idx="192">
                  <c:v>-78.356119654864955</c:v>
                </c:pt>
                <c:pt idx="193">
                  <c:v>-78.623010177236679</c:v>
                </c:pt>
                <c:pt idx="194">
                  <c:v>-78.884516240270429</c:v>
                </c:pt>
                <c:pt idx="195">
                  <c:v>-79.140735237476378</c:v>
                </c:pt>
                <c:pt idx="196">
                  <c:v>-79.391764307133471</c:v>
                </c:pt>
                <c:pt idx="197">
                  <c:v>-79.637700234831073</c:v>
                </c:pt>
                <c:pt idx="198">
                  <c:v>-79.878639363652269</c:v>
                </c:pt>
                <c:pt idx="199">
                  <c:v>-80.114677511632635</c:v>
                </c:pt>
                <c:pt idx="200">
                  <c:v>-80.345909896135439</c:v>
                </c:pt>
                <c:pt idx="201">
                  <c:v>-80.572431064791985</c:v>
                </c:pt>
                <c:pt idx="202">
                  <c:v>-80.794334832662912</c:v>
                </c:pt>
                <c:pt idx="203">
                  <c:v>-81.011714225288102</c:v>
                </c:pt>
                <c:pt idx="204">
                  <c:v>-81.224661427299509</c:v>
                </c:pt>
                <c:pt idx="205">
                  <c:v>-81.43326773628651</c:v>
                </c:pt>
                <c:pt idx="206">
                  <c:v>-81.637623521608376</c:v>
                </c:pt>
                <c:pt idx="207">
                  <c:v>-81.837818187865878</c:v>
                </c:pt>
                <c:pt idx="208">
                  <c:v>-82.033940142750453</c:v>
                </c:pt>
                <c:pt idx="209">
                  <c:v>-82.226076769004635</c:v>
                </c:pt>
                <c:pt idx="210">
                  <c:v>-82.414314400235583</c:v>
                </c:pt>
                <c:pt idx="211">
                  <c:v>-82.598738300338567</c:v>
                </c:pt>
                <c:pt idx="212">
                  <c:v>-82.779432646295078</c:v>
                </c:pt>
                <c:pt idx="213">
                  <c:v>-82.956480514124223</c:v>
                </c:pt>
                <c:pt idx="214">
                  <c:v>-83.129963867775288</c:v>
                </c:pt>
                <c:pt idx="215">
                  <c:v>-83.299963550760793</c:v>
                </c:pt>
                <c:pt idx="216">
                  <c:v>-83.466559280339212</c:v>
                </c:pt>
                <c:pt idx="217">
                  <c:v>-83.629829644067755</c:v>
                </c:pt>
                <c:pt idx="218">
                  <c:v>-83.789852098553581</c:v>
                </c:pt>
                <c:pt idx="219">
                  <c:v>-83.946702970243322</c:v>
                </c:pt>
                <c:pt idx="220">
                  <c:v>-84.100457458097821</c:v>
                </c:pt>
                <c:pt idx="221">
                  <c:v>-84.251189638010189</c:v>
                </c:pt>
                <c:pt idx="222">
                  <c:v>-84.398972468830621</c:v>
                </c:pt>
                <c:pt idx="223">
                  <c:v>-84.543877799872732</c:v>
                </c:pt>
                <c:pt idx="224">
                  <c:v>-84.685976379781067</c:v>
                </c:pt>
                <c:pt idx="225">
                  <c:v>-84.825337866648752</c:v>
                </c:pt>
                <c:pt idx="226">
                  <c:v>-84.962030839280459</c:v>
                </c:pt>
                <c:pt idx="227">
                  <c:v>-85.096122809502091</c:v>
                </c:pt>
                <c:pt idx="228">
                  <c:v>-85.227680235425638</c:v>
                </c:pt>
                <c:pt idx="229">
                  <c:v>-85.356768535584749</c:v>
                </c:pt>
                <c:pt idx="230">
                  <c:v>-85.483452103858184</c:v>
                </c:pt>
                <c:pt idx="231">
                  <c:v>-85.607794325110106</c:v>
                </c:pt>
                <c:pt idx="232">
                  <c:v>-85.729857591474712</c:v>
                </c:pt>
                <c:pt idx="233">
                  <c:v>-85.849703319222854</c:v>
                </c:pt>
                <c:pt idx="234">
                  <c:v>-85.96739196614935</c:v>
                </c:pt>
                <c:pt idx="235">
                  <c:v>-86.082983049425764</c:v>
                </c:pt>
                <c:pt idx="236">
                  <c:v>-86.196535163867523</c:v>
                </c:pt>
                <c:pt idx="237">
                  <c:v>-86.308106000566937</c:v>
                </c:pt>
                <c:pt idx="238">
                  <c:v>-86.417752365848614</c:v>
                </c:pt>
                <c:pt idx="239">
                  <c:v>-86.525530200506381</c:v>
                </c:pt>
                <c:pt idx="240">
                  <c:v>-86.63149459928448</c:v>
                </c:pt>
                <c:pt idx="241">
                  <c:v>-86.735699830568393</c:v>
                </c:pt>
                <c:pt idx="242">
                  <c:v>-86.838199356254123</c:v>
                </c:pt>
                <c:pt idx="243">
                  <c:v>-86.939045851766451</c:v>
                </c:pt>
                <c:pt idx="244">
                  <c:v>-87.038291226200528</c:v>
                </c:pt>
                <c:pt idx="245">
                  <c:v>-87.135986642562102</c:v>
                </c:pt>
                <c:pt idx="246">
                  <c:v>-87.232182538085226</c:v>
                </c:pt>
                <c:pt idx="247">
                  <c:v>-87.326928644606653</c:v>
                </c:pt>
                <c:pt idx="248">
                  <c:v>-87.420274008980527</c:v>
                </c:pt>
                <c:pt idx="249">
                  <c:v>-87.512267013515668</c:v>
                </c:pt>
                <c:pt idx="250">
                  <c:v>-87.602955396422828</c:v>
                </c:pt>
                <c:pt idx="251">
                  <c:v>-87.692386272257522</c:v>
                </c:pt>
                <c:pt idx="252">
                  <c:v>-87.780606152348454</c:v>
                </c:pt>
                <c:pt idx="253">
                  <c:v>-87.867660965200926</c:v>
                </c:pt>
                <c:pt idx="254">
                  <c:v>-87.953596076866631</c:v>
                </c:pt>
                <c:pt idx="255">
                  <c:v>-88.038456311272952</c:v>
                </c:pt>
                <c:pt idx="256">
                  <c:v>-88.122285970504592</c:v>
                </c:pt>
                <c:pt idx="257">
                  <c:v>-88.205128855033237</c:v>
                </c:pt>
                <c:pt idx="258">
                  <c:v>-88.287028283890308</c:v>
                </c:pt>
                <c:pt idx="259">
                  <c:v>-88.368027114779537</c:v>
                </c:pt>
                <c:pt idx="260">
                  <c:v>-88.448167764127376</c:v>
                </c:pt>
                <c:pt idx="261">
                  <c:v>-88.527492227068635</c:v>
                </c:pt>
                <c:pt idx="262">
                  <c:v>-88.606042097367066</c:v>
                </c:pt>
                <c:pt idx="263">
                  <c:v>-88.68385858727035</c:v>
                </c:pt>
                <c:pt idx="264">
                  <c:v>-88.760982547299633</c:v>
                </c:pt>
                <c:pt idx="265">
                  <c:v>-88.83745448597476</c:v>
                </c:pt>
                <c:pt idx="266">
                  <c:v>-88.913314589476514</c:v>
                </c:pt>
                <c:pt idx="267">
                  <c:v>-88.98860274124786</c:v>
                </c:pt>
                <c:pt idx="268">
                  <c:v>-89.063358541536758</c:v>
                </c:pt>
                <c:pt idx="269">
                  <c:v>-89.137621326883021</c:v>
                </c:pt>
                <c:pt idx="270">
                  <c:v>-89.211430189552999</c:v>
                </c:pt>
                <c:pt idx="271">
                  <c:v>-89.284823996925397</c:v>
                </c:pt>
                <c:pt idx="272">
                  <c:v>-89.357841410832179</c:v>
                </c:pt>
                <c:pt idx="273">
                  <c:v>-89.430520906859314</c:v>
                </c:pt>
                <c:pt idx="274">
                  <c:v>-89.502900793611175</c:v>
                </c:pt>
                <c:pt idx="275">
                  <c:v>-89.575019231944424</c:v>
                </c:pt>
                <c:pt idx="276">
                  <c:v>-89.646914254175783</c:v>
                </c:pt>
                <c:pt idx="277">
                  <c:v>-89.71862378326918</c:v>
                </c:pt>
                <c:pt idx="278">
                  <c:v>-89.790185652008276</c:v>
                </c:pt>
                <c:pt idx="279">
                  <c:v>-89.861637622159478</c:v>
                </c:pt>
                <c:pt idx="280">
                  <c:v>-89.933017403631936</c:v>
                </c:pt>
                <c:pt idx="281">
                  <c:v>-90.004362673640145</c:v>
                </c:pt>
                <c:pt idx="282">
                  <c:v>-90.075711095875889</c:v>
                </c:pt>
                <c:pt idx="283">
                  <c:v>-90.147100339695356</c:v>
                </c:pt>
                <c:pt idx="284">
                  <c:v>-90.21856809932828</c:v>
                </c:pt>
                <c:pt idx="285">
                  <c:v>-90.290152113115553</c:v>
                </c:pt>
                <c:pt idx="286">
                  <c:v>-90.361890182781949</c:v>
                </c:pt>
                <c:pt idx="287">
                  <c:v>-90.433820192750716</c:v>
                </c:pt>
                <c:pt idx="288">
                  <c:v>-90.505980129506895</c:v>
                </c:pt>
                <c:pt idx="289">
                  <c:v>-90.578408101016009</c:v>
                </c:pt>
                <c:pt idx="290">
                  <c:v>-90.651142356205241</c:v>
                </c:pt>
                <c:pt idx="291">
                  <c:v>-90.724221304513932</c:v>
                </c:pt>
                <c:pt idx="292">
                  <c:v>-90.79768353552015</c:v>
                </c:pt>
                <c:pt idx="293">
                  <c:v>-90.87156783865052</c:v>
                </c:pt>
                <c:pt idx="294">
                  <c:v>-90.945913222979911</c:v>
                </c:pt>
                <c:pt idx="295">
                  <c:v>-91.020758937128178</c:v>
                </c:pt>
                <c:pt idx="296">
                  <c:v>-91.09614448926051</c:v>
                </c:pt>
                <c:pt idx="297">
                  <c:v>-91.172109667198242</c:v>
                </c:pt>
                <c:pt idx="298">
                  <c:v>-91.248694558647117</c:v>
                </c:pt>
                <c:pt idx="299">
                  <c:v>-91.325939571549</c:v>
                </c:pt>
                <c:pt idx="300">
                  <c:v>-91.403885454564417</c:v>
                </c:pt>
                <c:pt idx="301">
                  <c:v>-91.482573317691489</c:v>
                </c:pt>
                <c:pt idx="302">
                  <c:v>-91.562044653028238</c:v>
                </c:pt>
                <c:pt idx="303">
                  <c:v>-91.64234135568401</c:v>
                </c:pt>
                <c:pt idx="304">
                  <c:v>-91.723505744846065</c:v>
                </c:pt>
                <c:pt idx="305">
                  <c:v>-91.805580585007178</c:v>
                </c:pt>
                <c:pt idx="306">
                  <c:v>-91.888609107359969</c:v>
                </c:pt>
                <c:pt idx="307">
                  <c:v>-91.972635031362785</c:v>
                </c:pt>
                <c:pt idx="308">
                  <c:v>-92.057702586482989</c:v>
                </c:pt>
                <c:pt idx="309">
                  <c:v>-92.14385653412171</c:v>
                </c:pt>
                <c:pt idx="310">
                  <c:v>-92.231142189725134</c:v>
                </c:pt>
                <c:pt idx="311">
                  <c:v>-92.319605445086083</c:v>
                </c:pt>
                <c:pt idx="312">
                  <c:v>-92.409292790839942</c:v>
                </c:pt>
                <c:pt idx="313">
                  <c:v>-92.500251339158126</c:v>
                </c:pt>
                <c:pt idx="314">
                  <c:v>-92.592528846642239</c:v>
                </c:pt>
                <c:pt idx="315">
                  <c:v>-92.686173737421058</c:v>
                </c:pt>
                <c:pt idx="316">
                  <c:v>-92.781235126452543</c:v>
                </c:pt>
                <c:pt idx="317">
                  <c:v>-92.877762843032372</c:v>
                </c:pt>
                <c:pt idx="318">
                  <c:v>-92.975807454509166</c:v>
                </c:pt>
                <c:pt idx="319">
                  <c:v>-93.075420290207262</c:v>
                </c:pt>
                <c:pt idx="320">
                  <c:v>-93.176653465555887</c:v>
                </c:pt>
                <c:pt idx="321">
                  <c:v>-93.279559906423515</c:v>
                </c:pt>
                <c:pt idx="322">
                  <c:v>-93.384193373655108</c:v>
                </c:pt>
                <c:pt idx="323">
                  <c:v>-93.490608487809126</c:v>
                </c:pt>
                <c:pt idx="324">
                  <c:v>-93.598860754090651</c:v>
                </c:pt>
                <c:pt idx="325">
                  <c:v>-93.709006587474434</c:v>
                </c:pt>
                <c:pt idx="326">
                  <c:v>-93.821103338012506</c:v>
                </c:pt>
                <c:pt idx="327">
                  <c:v>-93.935209316318875</c:v>
                </c:pt>
                <c:pt idx="328">
                  <c:v>-94.051383819221513</c:v>
                </c:pt>
                <c:pt idx="329">
                  <c:v>-94.169687155573129</c:v>
                </c:pt>
                <c:pt idx="330">
                  <c:v>-94.2901806722071</c:v>
                </c:pt>
                <c:pt idx="331">
                  <c:v>-94.412926780027078</c:v>
                </c:pt>
                <c:pt idx="332">
                  <c:v>-94.537988980213868</c:v>
                </c:pt>
                <c:pt idx="333">
                  <c:v>-94.665431890533924</c:v>
                </c:pt>
                <c:pt idx="334">
                  <c:v>-94.795321271729591</c:v>
                </c:pt>
                <c:pt idx="335">
                  <c:v>-94.927724053970934</c:v>
                </c:pt>
                <c:pt idx="336">
                  <c:v>-95.062708363345394</c:v>
                </c:pt>
                <c:pt idx="337">
                  <c:v>-95.200343548360649</c:v>
                </c:pt>
                <c:pt idx="338">
                  <c:v>-95.340700206431208</c:v>
                </c:pt>
                <c:pt idx="339">
                  <c:v>-95.483850210319389</c:v>
                </c:pt>
                <c:pt idx="340">
                  <c:v>-95.629866734495252</c:v>
                </c:pt>
                <c:pt idx="341">
                  <c:v>-95.778824281380423</c:v>
                </c:pt>
                <c:pt idx="342">
                  <c:v>-95.930798707434192</c:v>
                </c:pt>
                <c:pt idx="343">
                  <c:v>-96.085867249038827</c:v>
                </c:pt>
                <c:pt idx="344">
                  <c:v>-96.244108548137248</c:v>
                </c:pt>
                <c:pt idx="345">
                  <c:v>-96.405602677570457</c:v>
                </c:pt>
                <c:pt idx="346">
                  <c:v>-96.5704311660607</c:v>
                </c:pt>
                <c:pt idx="347">
                  <c:v>-96.738677022779257</c:v>
                </c:pt>
                <c:pt idx="348">
                  <c:v>-96.910424761435166</c:v>
                </c:pt>
                <c:pt idx="349">
                  <c:v>-97.085760423815017</c:v>
                </c:pt>
                <c:pt idx="350">
                  <c:v>-97.264771602698787</c:v>
                </c:pt>
                <c:pt idx="351">
                  <c:v>-97.447547464071917</c:v>
                </c:pt>
                <c:pt idx="352">
                  <c:v>-97.634178768547613</c:v>
                </c:pt>
                <c:pt idx="353">
                  <c:v>-97.824757891906842</c:v>
                </c:pt>
                <c:pt idx="354">
                  <c:v>-98.01937884465859</c:v>
                </c:pt>
                <c:pt idx="355">
                  <c:v>-98.218137290512871</c:v>
                </c:pt>
                <c:pt idx="356">
                  <c:v>-98.421130563657869</c:v>
                </c:pt>
                <c:pt idx="357">
                  <c:v>-98.628457684718086</c:v>
                </c:pt>
                <c:pt idx="358">
                  <c:v>-98.840219375268703</c:v>
                </c:pt>
                <c:pt idx="359">
                  <c:v>-99.056518070770167</c:v>
                </c:pt>
                <c:pt idx="360">
                  <c:v>-99.277457931779253</c:v>
                </c:pt>
                <c:pt idx="361">
                  <c:v>-99.503144853286116</c:v>
                </c:pt>
                <c:pt idx="362">
                  <c:v>-99.733686472014142</c:v>
                </c:pt>
                <c:pt idx="363">
                  <c:v>-99.969192171515445</c:v>
                </c:pt>
                <c:pt idx="364">
                  <c:v>-100.20977308488048</c:v>
                </c:pt>
                <c:pt idx="365">
                  <c:v>-100.45554209487352</c:v>
                </c:pt>
                <c:pt idx="366">
                  <c:v>-100.70661383129665</c:v>
                </c:pt>
                <c:pt idx="367">
                  <c:v>-100.96310466537025</c:v>
                </c:pt>
                <c:pt idx="368">
                  <c:v>-101.22513270091565</c:v>
                </c:pt>
                <c:pt idx="369">
                  <c:v>-101.49281776210661</c:v>
                </c:pt>
                <c:pt idx="370">
                  <c:v>-101.76628137755367</c:v>
                </c:pt>
                <c:pt idx="371">
                  <c:v>-102.04564676047028</c:v>
                </c:pt>
                <c:pt idx="372">
                  <c:v>-102.33103878466341</c:v>
                </c:pt>
                <c:pt idx="373">
                  <c:v>-102.62258395607667</c:v>
                </c:pt>
                <c:pt idx="374">
                  <c:v>-102.92041037961189</c:v>
                </c:pt>
                <c:pt idx="375">
                  <c:v>-103.22464772093855</c:v>
                </c:pt>
                <c:pt idx="376">
                  <c:v>-103.53542716299731</c:v>
                </c:pt>
                <c:pt idx="377">
                  <c:v>-103.85288135689414</c:v>
                </c:pt>
                <c:pt idx="378">
                  <c:v>-104.17714436687633</c:v>
                </c:pt>
                <c:pt idx="379">
                  <c:v>-104.50835160907459</c:v>
                </c:pt>
                <c:pt idx="380">
                  <c:v>-104.84663978369198</c:v>
                </c:pt>
                <c:pt idx="381">
                  <c:v>-105.19214680031723</c:v>
                </c:pt>
                <c:pt idx="382">
                  <c:v>-105.54501169604221</c:v>
                </c:pt>
                <c:pt idx="383">
                  <c:v>-105.90537454605776</c:v>
                </c:pt>
                <c:pt idx="384">
                  <c:v>-106.27337636641376</c:v>
                </c:pt>
                <c:pt idx="385">
                  <c:v>-106.64915900862822</c:v>
                </c:pt>
                <c:pt idx="386">
                  <c:v>-107.03286504584433</c:v>
                </c:pt>
                <c:pt idx="387">
                  <c:v>-107.42463765024442</c:v>
                </c:pt>
                <c:pt idx="388">
                  <c:v>-107.82462046144629</c:v>
                </c:pt>
                <c:pt idx="389">
                  <c:v>-108.2329574456279</c:v>
                </c:pt>
                <c:pt idx="390">
                  <c:v>-108.64979274515149</c:v>
                </c:pt>
                <c:pt idx="391">
                  <c:v>-109.07527051848662</c:v>
                </c:pt>
                <c:pt idx="392">
                  <c:v>-109.50953477026864</c:v>
                </c:pt>
                <c:pt idx="393">
                  <c:v>-109.9527291713683</c:v>
                </c:pt>
                <c:pt idx="394">
                  <c:v>-110.40499686889528</c:v>
                </c:pt>
                <c:pt idx="395">
                  <c:v>-110.8664802861165</c:v>
                </c:pt>
                <c:pt idx="396">
                  <c:v>-111.33732091232309</c:v>
                </c:pt>
                <c:pt idx="397">
                  <c:v>-111.81765908275752</c:v>
                </c:pt>
                <c:pt idx="398">
                  <c:v>-112.3076337487815</c:v>
                </c:pt>
                <c:pt idx="399">
                  <c:v>-112.80738223855788</c:v>
                </c:pt>
                <c:pt idx="400">
                  <c:v>-113.31704000860391</c:v>
                </c:pt>
                <c:pt idx="401">
                  <c:v>-113.83674038668617</c:v>
                </c:pt>
                <c:pt idx="402">
                  <c:v>-114.36661430662944</c:v>
                </c:pt>
                <c:pt idx="403">
                  <c:v>-114.906790035741</c:v>
                </c:pt>
                <c:pt idx="404">
                  <c:v>-115.45739289567368</c:v>
                </c:pt>
                <c:pt idx="405">
                  <c:v>-116.01854497769564</c:v>
                </c:pt>
                <c:pt idx="406">
                  <c:v>-116.5903648534795</c:v>
                </c:pt>
                <c:pt idx="407">
                  <c:v>-117.17296728267537</c:v>
                </c:pt>
                <c:pt idx="408">
                  <c:v>-117.76646291870487</c:v>
                </c:pt>
                <c:pt idx="409">
                  <c:v>-118.37095801436932</c:v>
                </c:pt>
                <c:pt idx="410">
                  <c:v>-118.98655412905021</c:v>
                </c:pt>
                <c:pt idx="411">
                  <c:v>-119.61334783945284</c:v>
                </c:pt>
                <c:pt idx="412">
                  <c:v>-120.25143045603211</c:v>
                </c:pt>
                <c:pt idx="413">
                  <c:v>-120.90088774741064</c:v>
                </c:pt>
                <c:pt idx="414">
                  <c:v>-121.56179967529225</c:v>
                </c:pt>
                <c:pt idx="415">
                  <c:v>-122.23424014254549</c:v>
                </c:pt>
                <c:pt idx="416">
                  <c:v>-122.91827675729998</c:v>
                </c:pt>
                <c:pt idx="417">
                  <c:v>-123.61397061607015</c:v>
                </c:pt>
                <c:pt idx="418">
                  <c:v>-124.32137610905801</c:v>
                </c:pt>
                <c:pt idx="419">
                  <c:v>-125.04054075093907</c:v>
                </c:pt>
                <c:pt idx="420">
                  <c:v>-125.77150504053249</c:v>
                </c:pt>
                <c:pt idx="421">
                  <c:v>-126.51430235286682</c:v>
                </c:pt>
                <c:pt idx="422">
                  <c:v>-127.26895886721363</c:v>
                </c:pt>
                <c:pt idx="423">
                  <c:v>-128.03549353470603</c:v>
                </c:pt>
                <c:pt idx="424">
                  <c:v>-128.81391808915745</c:v>
                </c:pt>
                <c:pt idx="425">
                  <c:v>-129.60423710467811</c:v>
                </c:pt>
                <c:pt idx="426">
                  <c:v>-130.40644810361738</c:v>
                </c:pt>
                <c:pt idx="427">
                  <c:v>-131.22054171823268</c:v>
                </c:pt>
                <c:pt idx="428">
                  <c:v>-132.04650190936218</c:v>
                </c:pt>
                <c:pt idx="429">
                  <c:v>-132.88430624515075</c:v>
                </c:pt>
                <c:pt idx="430">
                  <c:v>-133.73392624264082</c:v>
                </c:pt>
                <c:pt idx="431">
                  <c:v>-134.59532777474703</c:v>
                </c:pt>
                <c:pt idx="432">
                  <c:v>-135.4684715447751</c:v>
                </c:pt>
                <c:pt idx="433">
                  <c:v>-136.35331363026572</c:v>
                </c:pt>
                <c:pt idx="434">
                  <c:v>-137.24980609748468</c:v>
                </c:pt>
                <c:pt idx="435">
                  <c:v>-138.15789768741107</c:v>
                </c:pt>
                <c:pt idx="436">
                  <c:v>-139.07753457352808</c:v>
                </c:pt>
                <c:pt idx="437">
                  <c:v>-140.00866119116259</c:v>
                </c:pt>
                <c:pt idx="438">
                  <c:v>-140.9512211375073</c:v>
                </c:pt>
                <c:pt idx="439">
                  <c:v>-141.90515814081661</c:v>
                </c:pt>
                <c:pt idx="440">
                  <c:v>-142.87041709660619</c:v>
                </c:pt>
                <c:pt idx="441">
                  <c:v>-143.84694516799291</c:v>
                </c:pt>
                <c:pt idx="442">
                  <c:v>-144.83469294659128</c:v>
                </c:pt>
                <c:pt idx="443">
                  <c:v>-145.83361566966548</c:v>
                </c:pt>
                <c:pt idx="444">
                  <c:v>-146.84367448848755</c:v>
                </c:pt>
                <c:pt idx="445">
                  <c:v>-147.86483778209305</c:v>
                </c:pt>
                <c:pt idx="446">
                  <c:v>-148.89708250987081</c:v>
                </c:pt>
                <c:pt idx="447">
                  <c:v>-149.94039559563663</c:v>
                </c:pt>
                <c:pt idx="448">
                  <c:v>-150.99477533505188</c:v>
                </c:pt>
                <c:pt idx="449">
                  <c:v>-152.06023281743447</c:v>
                </c:pt>
                <c:pt idx="450">
                  <c:v>-153.13679335218484</c:v>
                </c:pt>
                <c:pt idx="451">
                  <c:v>-154.22449788915816</c:v>
                </c:pt>
                <c:pt idx="452">
                  <c:v>-155.32340442141683</c:v>
                </c:pt>
                <c:pt idx="453">
                  <c:v>-156.43358935782103</c:v>
                </c:pt>
                <c:pt idx="454">
                  <c:v>-157.55514885184917</c:v>
                </c:pt>
                <c:pt idx="455">
                  <c:v>-158.6882000719236</c:v>
                </c:pt>
                <c:pt idx="456">
                  <c:v>-159.83288239723888</c:v>
                </c:pt>
                <c:pt idx="457">
                  <c:v>-160.98935852172525</c:v>
                </c:pt>
                <c:pt idx="458">
                  <c:v>-162.15781544722</c:v>
                </c:pt>
                <c:pt idx="459">
                  <c:v>-163.33846534521882</c:v>
                </c:pt>
                <c:pt idx="460">
                  <c:v>-164.5315462646511</c:v>
                </c:pt>
                <c:pt idx="461">
                  <c:v>-165.73732266101436</c:v>
                </c:pt>
                <c:pt idx="462">
                  <c:v>-166.95608571983382</c:v>
                </c:pt>
                <c:pt idx="463">
                  <c:v>-168.18815344484869</c:v>
                </c:pt>
                <c:pt idx="464">
                  <c:v>-169.4338704784939</c:v>
                </c:pt>
                <c:pt idx="465">
                  <c:v>-170.6936076192294</c:v>
                </c:pt>
                <c:pt idx="466">
                  <c:v>-171.96776099706986</c:v>
                </c:pt>
                <c:pt idx="467">
                  <c:v>-173.25675086529435</c:v>
                </c:pt>
                <c:pt idx="468">
                  <c:v>-174.56101996295567</c:v>
                </c:pt>
                <c:pt idx="469">
                  <c:v>-175.88103139943991</c:v>
                </c:pt>
                <c:pt idx="470">
                  <c:v>-177.21726600919212</c:v>
                </c:pt>
                <c:pt idx="471">
                  <c:v>-178.57021912196114</c:v>
                </c:pt>
                <c:pt idx="472">
                  <c:v>-179.94039669177553</c:v>
                </c:pt>
                <c:pt idx="473">
                  <c:v>178.671689273353</c:v>
                </c:pt>
                <c:pt idx="474">
                  <c:v>177.26552603895013</c:v>
                </c:pt>
                <c:pt idx="475">
                  <c:v>175.84060628503042</c:v>
                </c:pt>
                <c:pt idx="476">
                  <c:v>174.39643511276591</c:v>
                </c:pt>
                <c:pt idx="477">
                  <c:v>172.93253796250841</c:v>
                </c:pt>
                <c:pt idx="478">
                  <c:v>171.44846947884403</c:v>
                </c:pt>
                <c:pt idx="479">
                  <c:v>169.9438233444659</c:v>
                </c:pt>
                <c:pt idx="480">
                  <c:v>168.41824308619348</c:v>
                </c:pt>
                <c:pt idx="481">
                  <c:v>166.87143383288415</c:v>
                </c:pt>
                <c:pt idx="482">
                  <c:v>165.30317497578608</c:v>
                </c:pt>
                <c:pt idx="483">
                  <c:v>163.71333364679049</c:v>
                </c:pt>
                <c:pt idx="484">
                  <c:v>162.10187888901427</c:v>
                </c:pt>
                <c:pt idx="485">
                  <c:v>160.46889634750897</c:v>
                </c:pt>
                <c:pt idx="486">
                  <c:v>158.81460325647919</c:v>
                </c:pt>
                <c:pt idx="487">
                  <c:v>157.13936344454663</c:v>
                </c:pt>
                <c:pt idx="488">
                  <c:v>155.44370202340568</c:v>
                </c:pt>
                <c:pt idx="489">
                  <c:v>153.72831937038521</c:v>
                </c:pt>
                <c:pt idx="490">
                  <c:v>151.99410396548308</c:v>
                </c:pt>
                <c:pt idx="491">
                  <c:v>150.24214360243977</c:v>
                </c:pt>
                <c:pt idx="492">
                  <c:v>148.47373446594904</c:v>
                </c:pt>
                <c:pt idx="493">
                  <c:v>146.69038755788955</c:v>
                </c:pt>
                <c:pt idx="494">
                  <c:v>144.89383196903623</c:v>
                </c:pt>
                <c:pt idx="495">
                  <c:v>143.08601453288077</c:v>
                </c:pt>
                <c:pt idx="496">
                  <c:v>141.26909546752074</c:v>
                </c:pt>
                <c:pt idx="497">
                  <c:v>139.44543971085247</c:v>
                </c:pt>
                <c:pt idx="498">
                  <c:v>137.61760378199972</c:v>
                </c:pt>
                <c:pt idx="499">
                  <c:v>135.78831815399943</c:v>
                </c:pt>
                <c:pt idx="500">
                  <c:v>133.96046529250773</c:v>
                </c:pt>
                <c:pt idx="501">
                  <c:v>132.13705369362077</c:v>
                </c:pt>
                <c:pt idx="502">
                  <c:v>130.32118842987569</c:v>
                </c:pt>
                <c:pt idx="503">
                  <c:v>128.51603887530052</c:v>
                </c:pt>
                <c:pt idx="504">
                  <c:v>126.72480441627511</c:v>
                </c:pt>
                <c:pt idx="505">
                  <c:v>124.95067905466409</c:v>
                </c:pt>
                <c:pt idx="506">
                  <c:v>123.19681586532346</c:v>
                </c:pt>
                <c:pt idx="507">
                  <c:v>121.46629227720132</c:v>
                </c:pt>
                <c:pt idx="508">
                  <c:v>119.76207710529938</c:v>
                </c:pt>
                <c:pt idx="509">
                  <c:v>118.08700017313274</c:v>
                </c:pt>
                <c:pt idx="510">
                  <c:v>116.44372523900459</c:v>
                </c:pt>
                <c:pt idx="511">
                  <c:v>114.8347267841185</c:v>
                </c:pt>
                <c:pt idx="512">
                  <c:v>113.26227104773425</c:v>
                </c:pt>
                <c:pt idx="513">
                  <c:v>111.72840151613661</c:v>
                </c:pt>
                <c:pt idx="514">
                  <c:v>110.23492889942408</c:v>
                </c:pt>
                <c:pt idx="515">
                  <c:v>108.78342547267076</c:v>
                </c:pt>
                <c:pt idx="516">
                  <c:v>107.37522352331261</c:v>
                </c:pt>
                <c:pt idx="517">
                  <c:v>106.0114175394404</c:v>
                </c:pt>
                <c:pt idx="518">
                  <c:v>104.692869696234</c:v>
                </c:pt>
                <c:pt idx="519">
                  <c:v>103.4202181498638</c:v>
                </c:pt>
                <c:pt idx="520">
                  <c:v>102.19388762769819</c:v>
                </c:pt>
                <c:pt idx="521">
                  <c:v>101.01410180705319</c:v>
                </c:pt>
                <c:pt idx="522">
                  <c:v>99.880896997634466</c:v>
                </c:pt>
                <c:pt idx="523">
                  <c:v>98.794136680521845</c:v>
                </c:pt>
                <c:pt idx="524">
                  <c:v>97.753526504386031</c:v>
                </c:pt>
                <c:pt idx="525">
                  <c:v>96.758629393368039</c:v>
                </c:pt>
                <c:pt idx="526">
                  <c:v>95.808880477003555</c:v>
                </c:pt>
                <c:pt idx="527">
                  <c:v>94.903601607810458</c:v>
                </c:pt>
                <c:pt idx="528">
                  <c:v>94.042015284427507</c:v>
                </c:pt>
                <c:pt idx="529">
                  <c:v>93.223257845915882</c:v>
                </c:pt>
                <c:pt idx="530">
                  <c:v>92.44639184512954</c:v>
                </c:pt>
                <c:pt idx="531">
                  <c:v>91.7104175453549</c:v>
                </c:pt>
                <c:pt idx="532">
                  <c:v>91.014283514806991</c:v>
                </c:pt>
                <c:pt idx="533">
                  <c:v>90.356896318143157</c:v>
                </c:pt>
                <c:pt idx="534">
                  <c:v>89.73712932346109</c:v>
                </c:pt>
                <c:pt idx="535">
                  <c:v>89.153830657777917</c:v>
                </c:pt>
                <c:pt idx="536">
                  <c:v>88.605830354396517</c:v>
                </c:pt>
                <c:pt idx="537">
                  <c:v>88.091946742460578</c:v>
                </c:pt>
                <c:pt idx="538">
                  <c:v>87.610992133024055</c:v>
                </c:pt>
                <c:pt idx="539">
                  <c:v>87.161777857636196</c:v>
                </c:pt>
                <c:pt idx="540">
                  <c:v>86.743118715321842</c:v>
                </c:pt>
                <c:pt idx="541">
                  <c:v>86.353836882327499</c:v>
                </c:pt>
              </c:numCache>
            </c:numRef>
          </c:yVal>
          <c:smooth val="1"/>
          <c:extLst>
            <c:ext xmlns:c16="http://schemas.microsoft.com/office/drawing/2014/chart" uri="{C3380CC4-5D6E-409C-BE32-E72D297353CC}">
              <c16:uniqueId val="{00000001-B561-4C80-890B-643E0BF90D63}"/>
            </c:ext>
          </c:extLst>
        </c:ser>
        <c:dLbls>
          <c:showLegendKey val="0"/>
          <c:showVal val="0"/>
          <c:showCatName val="0"/>
          <c:showSerName val="0"/>
          <c:showPercent val="0"/>
          <c:showBubbleSize val="0"/>
        </c:dLbls>
        <c:axId val="162527872"/>
        <c:axId val="162526336"/>
      </c:scatterChart>
      <c:valAx>
        <c:axId val="1624976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2499584"/>
        <c:crosses val="autoZero"/>
        <c:crossBetween val="midCat"/>
      </c:valAx>
      <c:valAx>
        <c:axId val="1624995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2497664"/>
        <c:crosses val="autoZero"/>
        <c:crossBetween val="midCat"/>
        <c:majorUnit val="20"/>
        <c:minorUnit val="10"/>
      </c:valAx>
      <c:valAx>
        <c:axId val="162526336"/>
        <c:scaling>
          <c:orientation val="minMax"/>
          <c:max val="180"/>
          <c:min val="-180"/>
        </c:scaling>
        <c:delete val="0"/>
        <c:axPos val="r"/>
        <c:numFmt formatCode="General" sourceLinked="1"/>
        <c:majorTickMark val="out"/>
        <c:minorTickMark val="none"/>
        <c:tickLblPos val="nextTo"/>
        <c:crossAx val="162527872"/>
        <c:crosses val="max"/>
        <c:crossBetween val="midCat"/>
        <c:majorUnit val="90"/>
        <c:minorUnit val="45"/>
      </c:valAx>
      <c:valAx>
        <c:axId val="162527872"/>
        <c:scaling>
          <c:logBase val="10"/>
          <c:orientation val="minMax"/>
        </c:scaling>
        <c:delete val="1"/>
        <c:axPos val="b"/>
        <c:numFmt formatCode="0.00" sourceLinked="1"/>
        <c:majorTickMark val="out"/>
        <c:minorTickMark val="none"/>
        <c:tickLblPos val="nextTo"/>
        <c:crossAx val="16252633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55.225231632479932</c:v>
                </c:pt>
                <c:pt idx="1">
                  <c:v>55.025236017908483</c:v>
                </c:pt>
                <c:pt idx="2">
                  <c:v>54.825240610011221</c:v>
                </c:pt>
                <c:pt idx="3">
                  <c:v>54.62524541852784</c:v>
                </c:pt>
                <c:pt idx="4">
                  <c:v>54.425250453657199</c:v>
                </c:pt>
                <c:pt idx="5">
                  <c:v>54.225255726078657</c:v>
                </c:pt>
                <c:pt idx="6">
                  <c:v>54.025261246974772</c:v>
                </c:pt>
                <c:pt idx="7">
                  <c:v>53.825267028055165</c:v>
                </c:pt>
                <c:pt idx="8">
                  <c:v>53.625273081581298</c:v>
                </c:pt>
                <c:pt idx="9">
                  <c:v>53.425279420392265</c:v>
                </c:pt>
                <c:pt idx="10">
                  <c:v>53.225286057932202</c:v>
                </c:pt>
                <c:pt idx="11">
                  <c:v>53.025293008278965</c:v>
                </c:pt>
                <c:pt idx="12">
                  <c:v>52.825300286173501</c:v>
                </c:pt>
                <c:pt idx="13">
                  <c:v>52.625307907051628</c:v>
                </c:pt>
                <c:pt idx="14">
                  <c:v>52.425315887076273</c:v>
                </c:pt>
                <c:pt idx="15">
                  <c:v>52.225324243172125</c:v>
                </c:pt>
                <c:pt idx="16">
                  <c:v>52.025332993061554</c:v>
                </c:pt>
                <c:pt idx="17">
                  <c:v>51.825342155301577</c:v>
                </c:pt>
                <c:pt idx="18">
                  <c:v>51.625351749323912</c:v>
                </c:pt>
                <c:pt idx="19">
                  <c:v>51.425361795475901</c:v>
                </c:pt>
                <c:pt idx="20">
                  <c:v>51.225372315063559</c:v>
                </c:pt>
                <c:pt idx="21">
                  <c:v>51.025383330396735</c:v>
                </c:pt>
                <c:pt idx="22">
                  <c:v>50.825394864836646</c:v>
                </c:pt>
                <c:pt idx="23">
                  <c:v>50.625406942845139</c:v>
                </c:pt>
                <c:pt idx="24">
                  <c:v>50.42541959003654</c:v>
                </c:pt>
                <c:pt idx="25">
                  <c:v>50.225432833232318</c:v>
                </c:pt>
                <c:pt idx="26">
                  <c:v>50.025446700517392</c:v>
                </c:pt>
                <c:pt idx="27">
                  <c:v>49.82546122129996</c:v>
                </c:pt>
                <c:pt idx="28">
                  <c:v>49.625476426373837</c:v>
                </c:pt>
                <c:pt idx="29">
                  <c:v>49.425492347983734</c:v>
                </c:pt>
                <c:pt idx="30">
                  <c:v>49.225509019893423</c:v>
                </c:pt>
                <c:pt idx="31">
                  <c:v>49.025526477457404</c:v>
                </c:pt>
                <c:pt idx="32">
                  <c:v>48.825544757695695</c:v>
                </c:pt>
                <c:pt idx="33">
                  <c:v>48.625563899372686</c:v>
                </c:pt>
                <c:pt idx="34">
                  <c:v>48.425583943078571</c:v>
                </c:pt>
                <c:pt idx="35">
                  <c:v>48.225604931316106</c:v>
                </c:pt>
                <c:pt idx="36">
                  <c:v>48.025626908590013</c:v>
                </c:pt>
                <c:pt idx="37">
                  <c:v>47.825649921501714</c:v>
                </c:pt>
                <c:pt idx="38">
                  <c:v>47.625674018847775</c:v>
                </c:pt>
                <c:pt idx="39">
                  <c:v>47.425699251723444</c:v>
                </c:pt>
                <c:pt idx="40">
                  <c:v>47.22572567363067</c:v>
                </c:pt>
                <c:pt idx="41">
                  <c:v>47.025753340591727</c:v>
                </c:pt>
                <c:pt idx="42">
                  <c:v>46.825782311267488</c:v>
                </c:pt>
                <c:pt idx="43">
                  <c:v>46.625812647081951</c:v>
                </c:pt>
                <c:pt idx="44">
                  <c:v>46.425844412352077</c:v>
                </c:pt>
                <c:pt idx="45">
                  <c:v>46.225877674424218</c:v>
                </c:pt>
                <c:pt idx="46">
                  <c:v>46.025912503816365</c:v>
                </c:pt>
                <c:pt idx="47">
                  <c:v>45.825948974367748</c:v>
                </c:pt>
                <c:pt idx="48">
                  <c:v>45.625987163394811</c:v>
                </c:pt>
                <c:pt idx="49">
                  <c:v>45.426027151855294</c:v>
                </c:pt>
                <c:pt idx="50">
                  <c:v>45.226069024519113</c:v>
                </c:pt>
                <c:pt idx="51">
                  <c:v>45.026112870147877</c:v>
                </c:pt>
                <c:pt idx="52">
                  <c:v>44.82615878168297</c:v>
                </c:pt>
                <c:pt idx="53">
                  <c:v>44.626206856441584</c:v>
                </c:pt>
                <c:pt idx="54">
                  <c:v>44.426257196323256</c:v>
                </c:pt>
                <c:pt idx="55">
                  <c:v>44.226309908024831</c:v>
                </c:pt>
                <c:pt idx="56">
                  <c:v>44.02636510326645</c:v>
                </c:pt>
                <c:pt idx="57">
                  <c:v>43.826422899027612</c:v>
                </c:pt>
                <c:pt idx="58">
                  <c:v>43.626483417794411</c:v>
                </c:pt>
                <c:pt idx="59">
                  <c:v>43.426546787818651</c:v>
                </c:pt>
                <c:pt idx="60">
                  <c:v>43.226613143388775</c:v>
                </c:pt>
                <c:pt idx="61">
                  <c:v>43.026682625113537</c:v>
                </c:pt>
                <c:pt idx="62">
                  <c:v>42.826755380219353</c:v>
                </c:pt>
                <c:pt idx="63">
                  <c:v>42.626831562860879</c:v>
                </c:pt>
                <c:pt idx="64">
                  <c:v>42.426911334446942</c:v>
                </c:pt>
                <c:pt idx="65">
                  <c:v>42.226994863981062</c:v>
                </c:pt>
                <c:pt idx="66">
                  <c:v>42.027082328418437</c:v>
                </c:pt>
                <c:pt idx="67">
                  <c:v>41.827173913039189</c:v>
                </c:pt>
                <c:pt idx="68">
                  <c:v>41.627269811839454</c:v>
                </c:pt>
                <c:pt idx="69">
                  <c:v>41.427370227940614</c:v>
                </c:pt>
                <c:pt idx="70">
                  <c:v>41.227475374017558</c:v>
                </c:pt>
                <c:pt idx="71">
                  <c:v>41.027585472747141</c:v>
                </c:pt>
                <c:pt idx="72">
                  <c:v>40.827700757277583</c:v>
                </c:pt>
                <c:pt idx="73">
                  <c:v>40.627821471719521</c:v>
                </c:pt>
                <c:pt idx="74">
                  <c:v>40.427947871660486</c:v>
                </c:pt>
                <c:pt idx="75">
                  <c:v>40.228080224703085</c:v>
                </c:pt>
                <c:pt idx="76">
                  <c:v>40.028218811027898</c:v>
                </c:pt>
                <c:pt idx="77">
                  <c:v>39.828363923983666</c:v>
                </c:pt>
                <c:pt idx="78">
                  <c:v>39.628515870703936</c:v>
                </c:pt>
                <c:pt idx="79">
                  <c:v>39.428674972752951</c:v>
                </c:pt>
                <c:pt idx="80">
                  <c:v>39.228841566801577</c:v>
                </c:pt>
                <c:pt idx="81">
                  <c:v>39.029016005334455</c:v>
                </c:pt>
                <c:pt idx="82">
                  <c:v>38.829198657390386</c:v>
                </c:pt>
                <c:pt idx="83">
                  <c:v>38.629389909336716</c:v>
                </c:pt>
                <c:pt idx="84">
                  <c:v>38.429590165680025</c:v>
                </c:pt>
                <c:pt idx="85">
                  <c:v>38.229799849914279</c:v>
                </c:pt>
                <c:pt idx="86">
                  <c:v>38.030019405408197</c:v>
                </c:pt>
                <c:pt idx="87">
                  <c:v>37.830249296333925</c:v>
                </c:pt>
                <c:pt idx="88">
                  <c:v>37.630490008638716</c:v>
                </c:pt>
                <c:pt idx="89">
                  <c:v>37.430742051061287</c:v>
                </c:pt>
                <c:pt idx="90">
                  <c:v>37.231005956195517</c:v>
                </c:pt>
                <c:pt idx="91">
                  <c:v>37.031282281602941</c:v>
                </c:pt>
                <c:pt idx="92">
                  <c:v>36.831571610976582</c:v>
                </c:pt>
                <c:pt idx="93">
                  <c:v>36.631874555358884</c:v>
                </c:pt>
                <c:pt idx="94">
                  <c:v>36.432191754414767</c:v>
                </c:pt>
                <c:pt idx="95">
                  <c:v>36.232523877764301</c:v>
                </c:pt>
                <c:pt idx="96">
                  <c:v>36.032871626375581</c:v>
                </c:pt>
                <c:pt idx="97">
                  <c:v>35.833235734022345</c:v>
                </c:pt>
                <c:pt idx="98">
                  <c:v>35.633616968807587</c:v>
                </c:pt>
                <c:pt idx="99">
                  <c:v>35.434016134757428</c:v>
                </c:pt>
                <c:pt idx="100">
                  <c:v>35.234434073487428</c:v>
                </c:pt>
                <c:pt idx="101">
                  <c:v>35.034871665945168</c:v>
                </c:pt>
                <c:pt idx="102">
                  <c:v>34.835329834231999</c:v>
                </c:pt>
                <c:pt idx="103">
                  <c:v>34.635809543507293</c:v>
                </c:pt>
                <c:pt idx="104">
                  <c:v>34.436311803980026</c:v>
                </c:pt>
                <c:pt idx="105">
                  <c:v>34.236837672989331</c:v>
                </c:pt>
                <c:pt idx="106">
                  <c:v>34.037388257180091</c:v>
                </c:pt>
                <c:pt idx="107">
                  <c:v>33.837964714776241</c:v>
                </c:pt>
                <c:pt idx="108">
                  <c:v>33.638568257956273</c:v>
                </c:pt>
                <c:pt idx="109">
                  <c:v>33.439200155335797</c:v>
                </c:pt>
                <c:pt idx="110">
                  <c:v>33.239861734560954</c:v>
                </c:pt>
                <c:pt idx="111">
                  <c:v>33.040554385018105</c:v>
                </c:pt>
                <c:pt idx="112">
                  <c:v>32.841279560663928</c:v>
                </c:pt>
                <c:pt idx="113">
                  <c:v>32.6420387829817</c:v>
                </c:pt>
                <c:pt idx="114">
                  <c:v>32.442833644068102</c:v>
                </c:pt>
                <c:pt idx="115">
                  <c:v>32.24366580985722</c:v>
                </c:pt>
                <c:pt idx="116">
                  <c:v>32.044537023485582</c:v>
                </c:pt>
                <c:pt idx="117">
                  <c:v>31.845449108805902</c:v>
                </c:pt>
                <c:pt idx="118">
                  <c:v>31.646403974053463</c:v>
                </c:pt>
                <c:pt idx="119">
                  <c:v>31.447403615673487</c:v>
                </c:pt>
                <c:pt idx="120">
                  <c:v>31.24845012231361</c:v>
                </c:pt>
                <c:pt idx="121">
                  <c:v>31.049545678989261</c:v>
                </c:pt>
                <c:pt idx="122">
                  <c:v>30.850692571428855</c:v>
                </c:pt>
                <c:pt idx="123">
                  <c:v>30.651893190604078</c:v>
                </c:pt>
                <c:pt idx="124">
                  <c:v>30.453150037454158</c:v>
                </c:pt>
                <c:pt idx="125">
                  <c:v>30.254465727810462</c:v>
                </c:pt>
                <c:pt idx="126">
                  <c:v>30.055842997527947</c:v>
                </c:pt>
                <c:pt idx="127">
                  <c:v>29.85728470783279</c:v>
                </c:pt>
                <c:pt idx="128">
                  <c:v>29.65879385089254</c:v>
                </c:pt>
                <c:pt idx="129">
                  <c:v>29.460373555616819</c:v>
                </c:pt>
                <c:pt idx="130">
                  <c:v>29.262027093696794</c:v>
                </c:pt>
                <c:pt idx="131">
                  <c:v>29.063757885891132</c:v>
                </c:pt>
                <c:pt idx="132">
                  <c:v>28.865569508566793</c:v>
                </c:pt>
                <c:pt idx="133">
                  <c:v>28.667465700502976</c:v>
                </c:pt>
                <c:pt idx="134">
                  <c:v>28.469450369965461</c:v>
                </c:pt>
                <c:pt idx="135">
                  <c:v>28.271527602061258</c:v>
                </c:pt>
                <c:pt idx="136">
                  <c:v>28.073701666380014</c:v>
                </c:pt>
                <c:pt idx="137">
                  <c:v>27.87597702493192</c:v>
                </c:pt>
                <c:pt idx="138">
                  <c:v>27.678358340388517</c:v>
                </c:pt>
                <c:pt idx="139">
                  <c:v>27.480850484636399</c:v>
                </c:pt>
                <c:pt idx="140">
                  <c:v>27.283458547649335</c:v>
                </c:pt>
                <c:pt idx="141">
                  <c:v>27.086187846688212</c:v>
                </c:pt>
                <c:pt idx="142">
                  <c:v>26.889043935834877</c:v>
                </c:pt>
                <c:pt idx="143">
                  <c:v>26.692032615866836</c:v>
                </c:pt>
                <c:pt idx="144">
                  <c:v>26.495159944480111</c:v>
                </c:pt>
                <c:pt idx="145">
                  <c:v>26.29843224686487</c:v>
                </c:pt>
                <c:pt idx="146">
                  <c:v>26.101856126639809</c:v>
                </c:pt>
                <c:pt idx="147">
                  <c:v>25.90543847715001</c:v>
                </c:pt>
                <c:pt idx="148">
                  <c:v>25.709186493131618</c:v>
                </c:pt>
                <c:pt idx="149">
                  <c:v>25.513107682746035</c:v>
                </c:pt>
                <c:pt idx="150">
                  <c:v>25.317209879986233</c:v>
                </c:pt>
                <c:pt idx="151">
                  <c:v>25.12150125745443</c:v>
                </c:pt>
                <c:pt idx="152">
                  <c:v>24.925990339512055</c:v>
                </c:pt>
                <c:pt idx="153">
                  <c:v>24.730686015797584</c:v>
                </c:pt>
                <c:pt idx="154">
                  <c:v>24.535597555110837</c:v>
                </c:pt>
                <c:pt idx="155">
                  <c:v>24.340734619655407</c:v>
                </c:pt>
                <c:pt idx="156">
                  <c:v>24.146107279633537</c:v>
                </c:pt>
                <c:pt idx="157">
                  <c:v>23.951726028181852</c:v>
                </c:pt>
                <c:pt idx="158">
                  <c:v>23.75760179663585</c:v>
                </c:pt>
                <c:pt idx="159">
                  <c:v>23.563745970108407</c:v>
                </c:pt>
                <c:pt idx="160">
                  <c:v>23.370170403363026</c:v>
                </c:pt>
                <c:pt idx="161">
                  <c:v>23.176887436960989</c:v>
                </c:pt>
                <c:pt idx="162">
                  <c:v>22.983909913657214</c:v>
                </c:pt>
                <c:pt idx="163">
                  <c:v>22.791251195016137</c:v>
                </c:pt>
                <c:pt idx="164">
                  <c:v>22.59892517821396</c:v>
                </c:pt>
                <c:pt idx="165">
                  <c:v>22.406946312991302</c:v>
                </c:pt>
                <c:pt idx="166">
                  <c:v>22.215329618712886</c:v>
                </c:pt>
                <c:pt idx="167">
                  <c:v>22.024090701487481</c:v>
                </c:pt>
                <c:pt idx="168">
                  <c:v>21.833245771296106</c:v>
                </c:pt>
                <c:pt idx="169">
                  <c:v>21.642811659069061</c:v>
                </c:pt>
                <c:pt idx="170">
                  <c:v>21.45280583364892</c:v>
                </c:pt>
                <c:pt idx="171">
                  <c:v>21.263246418566922</c:v>
                </c:pt>
                <c:pt idx="172">
                  <c:v>21.074152208556399</c:v>
                </c:pt>
                <c:pt idx="173">
                  <c:v>20.885542685718654</c:v>
                </c:pt>
                <c:pt idx="174">
                  <c:v>20.69743803524775</c:v>
                </c:pt>
                <c:pt idx="175">
                  <c:v>20.509859160616969</c:v>
                </c:pt>
                <c:pt idx="176">
                  <c:v>20.322827698116761</c:v>
                </c:pt>
                <c:pt idx="177">
                  <c:v>20.136366030630427</c:v>
                </c:pt>
                <c:pt idx="178">
                  <c:v>19.950497300522496</c:v>
                </c:pt>
                <c:pt idx="179">
                  <c:v>19.765245421507611</c:v>
                </c:pt>
                <c:pt idx="180">
                  <c:v>19.58063508935934</c:v>
                </c:pt>
                <c:pt idx="181">
                  <c:v>19.396691791309358</c:v>
                </c:pt>
                <c:pt idx="182">
                  <c:v>19.213441813979472</c:v>
                </c:pt>
                <c:pt idx="183">
                  <c:v>19.030912249680767</c:v>
                </c:pt>
                <c:pt idx="184">
                  <c:v>18.849131000906894</c:v>
                </c:pt>
                <c:pt idx="185">
                  <c:v>18.668126782839806</c:v>
                </c:pt>
                <c:pt idx="186">
                  <c:v>18.487929123681454</c:v>
                </c:pt>
                <c:pt idx="187">
                  <c:v>18.308568362617208</c:v>
                </c:pt>
                <c:pt idx="188">
                  <c:v>18.130075645212468</c:v>
                </c:pt>
                <c:pt idx="189">
                  <c:v>17.952482916040175</c:v>
                </c:pt>
                <c:pt idx="190">
                  <c:v>17.775822908333303</c:v>
                </c:pt>
                <c:pt idx="191">
                  <c:v>17.600129130455237</c:v>
                </c:pt>
                <c:pt idx="192">
                  <c:v>17.425435848982477</c:v>
                </c:pt>
                <c:pt idx="193">
                  <c:v>17.251778068193953</c:v>
                </c:pt>
                <c:pt idx="194">
                  <c:v>17.079191505768168</c:v>
                </c:pt>
                <c:pt idx="195">
                  <c:v>16.907712564493256</c:v>
                </c:pt>
                <c:pt idx="196">
                  <c:v>16.737378299806522</c:v>
                </c:pt>
                <c:pt idx="197">
                  <c:v>16.568226382989884</c:v>
                </c:pt>
                <c:pt idx="198">
                  <c:v>16.400295059863385</c:v>
                </c:pt>
                <c:pt idx="199">
                  <c:v>16.233623104835967</c:v>
                </c:pt>
                <c:pt idx="200">
                  <c:v>16.06824977019442</c:v>
                </c:pt>
                <c:pt idx="201">
                  <c:v>15.904214730534576</c:v>
                </c:pt>
                <c:pt idx="202">
                  <c:v>15.74155802226727</c:v>
                </c:pt>
                <c:pt idx="203">
                  <c:v>15.580319978162278</c:v>
                </c:pt>
                <c:pt idx="204">
                  <c:v>15.420541156928047</c:v>
                </c:pt>
                <c:pt idx="205">
                  <c:v>15.262262267862996</c:v>
                </c:pt>
                <c:pt idx="206">
                  <c:v>15.105524090654047</c:v>
                </c:pt>
                <c:pt idx="207">
                  <c:v>14.950367390444221</c:v>
                </c:pt>
                <c:pt idx="208">
                  <c:v>14.796832828335356</c:v>
                </c:pt>
                <c:pt idx="209">
                  <c:v>14.644960867542508</c:v>
                </c:pt>
                <c:pt idx="210">
                  <c:v>14.494791675466924</c:v>
                </c:pt>
                <c:pt idx="211">
                  <c:v>14.346365022007371</c:v>
                </c:pt>
                <c:pt idx="212">
                  <c:v>14.199720174480426</c:v>
                </c:pt>
                <c:pt idx="213">
                  <c:v>14.054895789576854</c:v>
                </c:pt>
                <c:pt idx="214">
                  <c:v>13.911929802829903</c:v>
                </c:pt>
                <c:pt idx="215">
                  <c:v>13.770859316124364</c:v>
                </c:pt>
                <c:pt idx="216">
                  <c:v>13.631720483823733</c:v>
                </c:pt>
                <c:pt idx="217">
                  <c:v>13.494548398135919</c:v>
                </c:pt>
                <c:pt idx="218">
                  <c:v>13.359376974381895</c:v>
                </c:pt>
                <c:pt idx="219">
                  <c:v>13.226238836865786</c:v>
                </c:pt>
                <c:pt idx="220">
                  <c:v>13.095165206074791</c:v>
                </c:pt>
                <c:pt idx="221">
                  <c:v>12.966185787962196</c:v>
                </c:pt>
                <c:pt idx="222">
                  <c:v>12.83932866608126</c:v>
                </c:pt>
                <c:pt idx="223">
                  <c:v>12.714620197345049</c:v>
                </c:pt>
                <c:pt idx="224">
                  <c:v>12.592084912186987</c:v>
                </c:pt>
                <c:pt idx="225">
                  <c:v>12.471745419886473</c:v>
                </c:pt>
                <c:pt idx="226">
                  <c:v>12.353622319802078</c:v>
                </c:pt>
                <c:pt idx="227">
                  <c:v>12.237734119228028</c:v>
                </c:pt>
                <c:pt idx="228">
                  <c:v>12.12409715854843</c:v>
                </c:pt>
                <c:pt idx="229">
                  <c:v>12.012725544316762</c:v>
                </c:pt>
                <c:pt idx="230">
                  <c:v>11.903631090829352</c:v>
                </c:pt>
                <c:pt idx="231">
                  <c:v>11.796823270697862</c:v>
                </c:pt>
                <c:pt idx="232">
                  <c:v>11.69230917485211</c:v>
                </c:pt>
                <c:pt idx="233">
                  <c:v>11.590093482325701</c:v>
                </c:pt>
                <c:pt idx="234">
                  <c:v>11.490178440090823</c:v>
                </c:pt>
                <c:pt idx="235">
                  <c:v>11.392563853123363</c:v>
                </c:pt>
                <c:pt idx="236">
                  <c:v>11.297247084784072</c:v>
                </c:pt>
                <c:pt idx="237">
                  <c:v>11.204223067511993</c:v>
                </c:pt>
                <c:pt idx="238">
                  <c:v>11.113484323731452</c:v>
                </c:pt>
                <c:pt idx="239">
                  <c:v>11.025020996784816</c:v>
                </c:pt>
                <c:pt idx="240">
                  <c:v>10.938820891612577</c:v>
                </c:pt>
                <c:pt idx="241">
                  <c:v>10.854869524820561</c:v>
                </c:pt>
                <c:pt idx="242">
                  <c:v>10.773150183694016</c:v>
                </c:pt>
                <c:pt idx="243">
                  <c:v>10.69364399364656</c:v>
                </c:pt>
                <c:pt idx="244">
                  <c:v>10.616329993527069</c:v>
                </c:pt>
                <c:pt idx="245">
                  <c:v>10.541185218152656</c:v>
                </c:pt>
                <c:pt idx="246">
                  <c:v>10.468184787386143</c:v>
                </c:pt>
                <c:pt idx="247">
                  <c:v>10.397302001040421</c:v>
                </c:pt>
                <c:pt idx="248">
                  <c:v>10.328508438862116</c:v>
                </c:pt>
                <c:pt idx="249">
                  <c:v>10.261774064828694</c:v>
                </c:pt>
                <c:pt idx="250">
                  <c:v>10.197067334983309</c:v>
                </c:pt>
                <c:pt idx="251">
                  <c:v>10.134355308031711</c:v>
                </c:pt>
                <c:pt idx="252">
                  <c:v>10.073603757933153</c:v>
                </c:pt>
                <c:pt idx="253">
                  <c:v>10.014777287734415</c:v>
                </c:pt>
                <c:pt idx="254">
                  <c:v>9.957839443920399</c:v>
                </c:pt>
                <c:pt idx="255">
                  <c:v>9.9027528305841734</c:v>
                </c:pt>
                <c:pt idx="256">
                  <c:v>9.8494792227567434</c:v>
                </c:pt>
                <c:pt idx="257">
                  <c:v>9.7979796782786437</c:v>
                </c:pt>
                <c:pt idx="258">
                  <c:v>9.7482146476404168</c:v>
                </c:pt>
                <c:pt idx="259">
                  <c:v>9.7001440812672879</c:v>
                </c:pt>
                <c:pt idx="260">
                  <c:v>9.6537275337756725</c:v>
                </c:pt>
                <c:pt idx="261">
                  <c:v>9.6089242647804483</c:v>
                </c:pt>
                <c:pt idx="262">
                  <c:v>9.5656933358850456</c:v>
                </c:pt>
                <c:pt idx="263">
                  <c:v>9.5239937035399365</c:v>
                </c:pt>
                <c:pt idx="264">
                  <c:v>9.4837843075062178</c:v>
                </c:pt>
                <c:pt idx="265">
                  <c:v>9.4450241547123834</c:v>
                </c:pt>
                <c:pt idx="266">
                  <c:v>9.4076723983405515</c:v>
                </c:pt>
                <c:pt idx="267">
                  <c:v>9.371688412025291</c:v>
                </c:pt>
                <c:pt idx="268">
                  <c:v>9.3370318590911552</c:v>
                </c:pt>
                <c:pt idx="269">
                  <c:v>9.3036627567965162</c:v>
                </c:pt>
                <c:pt idx="270">
                  <c:v>9.2715415355875468</c:v>
                </c:pt>
                <c:pt idx="271">
                  <c:v>9.2406290934014059</c:v>
                </c:pt>
                <c:pt idx="272">
                  <c:v>9.210886845087618</c:v>
                </c:pt>
                <c:pt idx="273">
                  <c:v>9.1822767670441472</c:v>
                </c:pt>
                <c:pt idx="274">
                  <c:v>9.1547614371880197</c:v>
                </c:pt>
                <c:pt idx="275">
                  <c:v>9.1283040704018852</c:v>
                </c:pt>
                <c:pt idx="276">
                  <c:v>9.1028685496137687</c:v>
                </c:pt>
                <c:pt idx="277">
                  <c:v>9.0784194526826543</c:v>
                </c:pt>
                <c:pt idx="278">
                  <c:v>9.0549220752737192</c:v>
                </c:pt>
                <c:pt idx="279">
                  <c:v>9.0323424499148501</c:v>
                </c:pt>
                <c:pt idx="280">
                  <c:v>9.010647361433989</c:v>
                </c:pt>
                <c:pt idx="281">
                  <c:v>8.989804358978601</c:v>
                </c:pt>
                <c:pt idx="282">
                  <c:v>8.9697817648226739</c:v>
                </c:pt>
                <c:pt idx="283">
                  <c:v>8.9505486801647454</c:v>
                </c:pt>
                <c:pt idx="284">
                  <c:v>8.9320749881203234</c:v>
                </c:pt>
                <c:pt idx="285">
                  <c:v>8.9143313541080147</c:v>
                </c:pt>
                <c:pt idx="286">
                  <c:v>8.8972892238249255</c:v>
                </c:pt>
                <c:pt idx="287">
                  <c:v>8.8809208190016609</c:v>
                </c:pt>
                <c:pt idx="288">
                  <c:v>8.8651991311202885</c:v>
                </c:pt>
                <c:pt idx="289">
                  <c:v>8.8500979132727302</c:v>
                </c:pt>
                <c:pt idx="290">
                  <c:v>8.8355916703286681</c:v>
                </c:pt>
                <c:pt idx="291">
                  <c:v>8.8216556475748593</c:v>
                </c:pt>
                <c:pt idx="292">
                  <c:v>8.8082658179785405</c:v>
                </c:pt>
                <c:pt idx="293">
                  <c:v>8.7953988682205058</c:v>
                </c:pt>
                <c:pt idx="294">
                  <c:v>8.7830321836332281</c:v>
                </c:pt>
                <c:pt idx="295">
                  <c:v>8.7711438321721928</c:v>
                </c:pt>
                <c:pt idx="296">
                  <c:v>8.7597125475397615</c:v>
                </c:pt>
                <c:pt idx="297">
                  <c:v>8.7487177115714019</c:v>
                </c:pt>
                <c:pt idx="298">
                  <c:v>8.7381393359876363</c:v>
                </c:pt>
                <c:pt idx="299">
                  <c:v>8.7279580436054491</c:v>
                </c:pt>
                <c:pt idx="300">
                  <c:v>8.7181550490959605</c:v>
                </c:pt>
                <c:pt idx="301">
                  <c:v>8.7087121393676448</c:v>
                </c:pt>
                <c:pt idx="302">
                  <c:v>8.6996116536463077</c:v>
                </c:pt>
                <c:pt idx="303">
                  <c:v>8.690836463317634</c:v>
                </c:pt>
                <c:pt idx="304">
                  <c:v>8.6823699515899406</c:v>
                </c:pt>
                <c:pt idx="305">
                  <c:v>8.674195993029743</c:v>
                </c:pt>
                <c:pt idx="306">
                  <c:v>8.6662989330159999</c:v>
                </c:pt>
                <c:pt idx="307">
                  <c:v>8.6586635671545267</c:v>
                </c:pt>
                <c:pt idx="308">
                  <c:v>8.6512751206866554</c:v>
                </c:pt>
                <c:pt idx="309">
                  <c:v>8.6441192279243317</c:v>
                </c:pt>
                <c:pt idx="310">
                  <c:v>8.6371819117365654</c:v>
                </c:pt>
                <c:pt idx="311">
                  <c:v>8.6304495631093854</c:v>
                </c:pt>
                <c:pt idx="312">
                  <c:v>8.6239089207971169</c:v>
                </c:pt>
                <c:pt idx="313">
                  <c:v>8.6175470510790557</c:v>
                </c:pt>
                <c:pt idx="314">
                  <c:v>8.611351327632498</c:v>
                </c:pt>
                <c:pt idx="315">
                  <c:v>8.6053094115294897</c:v>
                </c:pt>
                <c:pt idx="316">
                  <c:v>8.5994092313625323</c:v>
                </c:pt>
                <c:pt idx="317">
                  <c:v>8.5936389635008119</c:v>
                </c:pt>
                <c:pt idx="318">
                  <c:v>8.5879870124777664</c:v>
                </c:pt>
                <c:pt idx="319">
                  <c:v>8.5824419915065349</c:v>
                </c:pt>
                <c:pt idx="320">
                  <c:v>8.5769927031201156</c:v>
                </c:pt>
                <c:pt idx="321">
                  <c:v>8.5716281199291178</c:v>
                </c:pt>
                <c:pt idx="322">
                  <c:v>8.5663373654908437</c:v>
                </c:pt>
                <c:pt idx="323">
                  <c:v>8.5611096952793915</c:v>
                </c:pt>
                <c:pt idx="324">
                  <c:v>8.5559344777480462</c:v>
                </c:pt>
                <c:pt idx="325">
                  <c:v>8.5508011754717863</c:v>
                </c:pt>
                <c:pt idx="326">
                  <c:v>8.5456993263576795</c:v>
                </c:pt>
                <c:pt idx="327">
                  <c:v>8.5406185249120714</c:v>
                </c:pt>
                <c:pt idx="328">
                  <c:v>8.5355484035493454</c:v>
                </c:pt>
                <c:pt idx="329">
                  <c:v>8.5304786139295015</c:v>
                </c:pt>
                <c:pt idx="330">
                  <c:v>8.5253988083105803</c:v>
                </c:pt>
                <c:pt idx="331">
                  <c:v>8.5202986209011264</c:v>
                </c:pt>
                <c:pt idx="332">
                  <c:v>8.5151676491992863</c:v>
                </c:pt>
                <c:pt idx="333">
                  <c:v>8.5099954353040879</c:v>
                </c:pt>
                <c:pt idx="334">
                  <c:v>8.5047714471849734</c:v>
                </c:pt>
                <c:pt idx="335">
                  <c:v>8.4994850598971734</c:v>
                </c:pt>
                <c:pt idx="336">
                  <c:v>8.4941255367282213</c:v>
                </c:pt>
                <c:pt idx="337">
                  <c:v>8.4886820102662117</c:v>
                </c:pt>
                <c:pt idx="338">
                  <c:v>8.4831434633759599</c:v>
                </c:pt>
                <c:pt idx="339">
                  <c:v>8.4774987100748671</c:v>
                </c:pt>
                <c:pt idx="340">
                  <c:v>8.4717363762981215</c:v>
                </c:pt>
                <c:pt idx="341">
                  <c:v>8.4658448805463475</c:v>
                </c:pt>
                <c:pt idx="342">
                  <c:v>8.4598124144098072</c:v>
                </c:pt>
                <c:pt idx="343">
                  <c:v>8.4536269229634282</c:v>
                </c:pt>
                <c:pt idx="344">
                  <c:v>8.4472760850322501</c:v>
                </c:pt>
                <c:pt idx="345">
                  <c:v>8.4407472933248897</c:v>
                </c:pt>
                <c:pt idx="346">
                  <c:v>8.4340276344389551</c:v>
                </c:pt>
                <c:pt idx="347">
                  <c:v>8.4271038687411526</c:v>
                </c:pt>
                <c:pt idx="348">
                  <c:v>8.4199624101319284</c:v>
                </c:pt>
                <c:pt idx="349">
                  <c:v>8.4125893057023724</c:v>
                </c:pt>
                <c:pt idx="350">
                  <c:v>8.4049702153000396</c:v>
                </c:pt>
                <c:pt idx="351">
                  <c:v>8.3970903910193844</c:v>
                </c:pt>
                <c:pt idx="352">
                  <c:v>8.3889346566394032</c:v>
                </c:pt>
                <c:pt idx="353">
                  <c:v>8.3804873870327103</c:v>
                </c:pt>
                <c:pt idx="354">
                  <c:v>8.3717324875795391</c:v>
                </c:pt>
                <c:pt idx="355">
                  <c:v>8.3626533736171922</c:v>
                </c:pt>
                <c:pt idx="356">
                  <c:v>8.3532329499698132</c:v>
                </c:pt>
                <c:pt idx="357">
                  <c:v>8.3434535906012428</c:v>
                </c:pt>
                <c:pt idx="358">
                  <c:v>8.3332971184441114</c:v>
                </c:pt>
                <c:pt idx="359">
                  <c:v>8.3227447854631187</c:v>
                </c:pt>
                <c:pt idx="360">
                  <c:v>8.3117772530164622</c:v>
                </c:pt>
                <c:pt idx="361">
                  <c:v>8.3003745725873284</c:v>
                </c:pt>
                <c:pt idx="362">
                  <c:v>8.2885161669635359</c:v>
                </c:pt>
                <c:pt idx="363">
                  <c:v>8.27618081195223</c:v>
                </c:pt>
                <c:pt idx="364">
                  <c:v>8.2633466187224318</c:v>
                </c:pt>
                <c:pt idx="365">
                  <c:v>8.2499910168781518</c:v>
                </c:pt>
                <c:pt idx="366">
                  <c:v>8.2360907383720612</c:v>
                </c:pt>
                <c:pt idx="367">
                  <c:v>8.2216218023779781</c:v>
                </c:pt>
                <c:pt idx="368">
                  <c:v>8.2065595012494246</c:v>
                </c:pt>
                <c:pt idx="369">
                  <c:v>8.1908783877001365</c:v>
                </c:pt>
                <c:pt idx="370">
                  <c:v>8.1745522633504439</c:v>
                </c:pt>
                <c:pt idx="371">
                  <c:v>8.1575541687925863</c:v>
                </c:pt>
                <c:pt idx="372">
                  <c:v>8.1398563753352331</c:v>
                </c:pt>
                <c:pt idx="373">
                  <c:v>8.1214303785976902</c:v>
                </c:pt>
                <c:pt idx="374">
                  <c:v>8.102246894128033</c:v>
                </c:pt>
                <c:pt idx="375">
                  <c:v>8.0822758552308755</c:v>
                </c:pt>
                <c:pt idx="376">
                  <c:v>8.0614864131930783</c:v>
                </c:pt>
                <c:pt idx="377">
                  <c:v>8.0398469401028834</c:v>
                </c:pt>
                <c:pt idx="378">
                  <c:v>8.0173250344620115</c:v>
                </c:pt>
                <c:pt idx="379">
                  <c:v>7.9938875297936018</c:v>
                </c:pt>
                <c:pt idx="380">
                  <c:v>7.969500506449557</c:v>
                </c:pt>
                <c:pt idx="381">
                  <c:v>7.9441293068222416</c:v>
                </c:pt>
                <c:pt idx="382">
                  <c:v>7.9177385541633551</c:v>
                </c:pt>
                <c:pt idx="383">
                  <c:v>7.8902921752079767</c:v>
                </c:pt>
                <c:pt idx="384">
                  <c:v>7.8617534267975442</c:v>
                </c:pt>
                <c:pt idx="385">
                  <c:v>7.8320849266853312</c:v>
                </c:pt>
                <c:pt idx="386">
                  <c:v>7.8012486886978296</c:v>
                </c:pt>
                <c:pt idx="387">
                  <c:v>7.7692061624110043</c:v>
                </c:pt>
                <c:pt idx="388">
                  <c:v>7.7359182774831545</c:v>
                </c:pt>
                <c:pt idx="389">
                  <c:v>7.701345492766305</c:v>
                </c:pt>
                <c:pt idx="390">
                  <c:v>7.6654478502938144</c:v>
                </c:pt>
                <c:pt idx="391">
                  <c:v>7.628185034215468</c:v>
                </c:pt>
                <c:pt idx="392">
                  <c:v>7.589516434720629</c:v>
                </c:pt>
                <c:pt idx="393">
                  <c:v>7.5494012169562197</c:v>
                </c:pt>
                <c:pt idx="394">
                  <c:v>7.5077983949088258</c:v>
                </c:pt>
                <c:pt idx="395">
                  <c:v>7.4646669101808341</c:v>
                </c:pt>
                <c:pt idx="396">
                  <c:v>7.4199657155454579</c:v>
                </c:pt>
                <c:pt idx="397">
                  <c:v>7.3736538631207127</c:v>
                </c:pt>
                <c:pt idx="398">
                  <c:v>7.3256905969534269</c:v>
                </c:pt>
                <c:pt idx="399">
                  <c:v>7.2760354497531949</c:v>
                </c:pt>
                <c:pt idx="400">
                  <c:v>7.2246483434652484</c:v>
                </c:pt>
                <c:pt idx="401">
                  <c:v>7.17148969331787</c:v>
                </c:pt>
                <c:pt idx="402">
                  <c:v>7.1165205149266173</c:v>
                </c:pt>
                <c:pt idx="403">
                  <c:v>7.0597025339858979</c:v>
                </c:pt>
                <c:pt idx="404">
                  <c:v>7.0009982980268761</c:v>
                </c:pt>
                <c:pt idx="405">
                  <c:v>6.9403712896721235</c:v>
                </c:pt>
                <c:pt idx="406">
                  <c:v>6.8777860407710625</c:v>
                </c:pt>
                <c:pt idx="407">
                  <c:v>6.813208246759368</c:v>
                </c:pt>
                <c:pt idx="408">
                  <c:v>6.7466048805476806</c:v>
                </c:pt>
                <c:pt idx="409">
                  <c:v>6.6779443052148082</c:v>
                </c:pt>
                <c:pt idx="410">
                  <c:v>6.6071963847551274</c:v>
                </c:pt>
                <c:pt idx="411">
                  <c:v>6.5343325921139792</c:v>
                </c:pt>
                <c:pt idx="412">
                  <c:v>6.4593261137348543</c:v>
                </c:pt>
                <c:pt idx="413">
                  <c:v>6.3821519498430748</c:v>
                </c:pt>
                <c:pt idx="414">
                  <c:v>6.3027870096984184</c:v>
                </c:pt>
                <c:pt idx="415">
                  <c:v>6.2212102010683932</c:v>
                </c:pt>
                <c:pt idx="416">
                  <c:v>6.1374025132015255</c:v>
                </c:pt>
                <c:pt idx="417">
                  <c:v>6.0513470926174406</c:v>
                </c:pt>
                <c:pt idx="418">
                  <c:v>5.9630293110779542</c:v>
                </c:pt>
                <c:pt idx="419">
                  <c:v>5.8724368251578181</c:v>
                </c:pt>
                <c:pt idx="420">
                  <c:v>5.7795596269000162</c:v>
                </c:pt>
                <c:pt idx="421">
                  <c:v>5.684390085109559</c:v>
                </c:pt>
                <c:pt idx="422">
                  <c:v>5.5869229769204898</c:v>
                </c:pt>
                <c:pt idx="423">
                  <c:v>5.4871555093529896</c:v>
                </c:pt>
                <c:pt idx="424">
                  <c:v>5.385087330664927</c:v>
                </c:pt>
                <c:pt idx="425">
                  <c:v>5.2807205313966197</c:v>
                </c:pt>
                <c:pt idx="426">
                  <c:v>5.1740596350949755</c:v>
                </c:pt>
                <c:pt idx="427">
                  <c:v>5.0651115788007592</c:v>
                </c:pt>
                <c:pt idx="428">
                  <c:v>4.953885683470971</c:v>
                </c:pt>
                <c:pt idx="429">
                  <c:v>4.8403936146000772</c:v>
                </c:pt>
                <c:pt idx="430">
                  <c:v>4.7246493333844466</c:v>
                </c:pt>
                <c:pt idx="431">
                  <c:v>4.6066690388593345</c:v>
                </c:pt>
                <c:pt idx="432">
                  <c:v>4.4864711015063072</c:v>
                </c:pt>
                <c:pt idx="433">
                  <c:v>4.3640759888974809</c:v>
                </c:pt>
                <c:pt idx="434">
                  <c:v>4.2395061840002333</c:v>
                </c:pt>
                <c:pt idx="435">
                  <c:v>4.1127860968145962</c:v>
                </c:pt>
                <c:pt idx="436">
                  <c:v>3.9839419700550116</c:v>
                </c:pt>
                <c:pt idx="437">
                  <c:v>3.8530017796199507</c:v>
                </c:pt>
                <c:pt idx="438">
                  <c:v>3.7199951306104588</c:v>
                </c:pt>
                <c:pt idx="439">
                  <c:v>3.5849531496736109</c:v>
                </c:pt>
                <c:pt idx="440">
                  <c:v>3.4479083744446455</c:v>
                </c:pt>
                <c:pt idx="441">
                  <c:v>3.3088946408584183</c:v>
                </c:pt>
                <c:pt idx="442">
                  <c:v>3.1679469690821693</c:v>
                </c:pt>
                <c:pt idx="443">
                  <c:v>3.0251014488012857</c:v>
                </c:pt>
                <c:pt idx="444">
                  <c:v>2.8803951245591031</c:v>
                </c:pt>
                <c:pt idx="445">
                  <c:v>2.7338658818155364</c:v>
                </c:pt>
                <c:pt idx="446">
                  <c:v>2.5855523343496483</c:v>
                </c:pt>
                <c:pt idx="447">
                  <c:v>2.4354937135864145</c:v>
                </c:pt>
                <c:pt idx="448">
                  <c:v>2.2837297603782551</c:v>
                </c:pt>
                <c:pt idx="449">
                  <c:v>2.1303006197220058</c:v>
                </c:pt>
                <c:pt idx="450">
                  <c:v>1.9752467388410371</c:v>
                </c:pt>
                <c:pt idx="451">
                  <c:v>1.8186087690068344</c:v>
                </c:pt>
                <c:pt idx="452">
                  <c:v>1.6604274714229881</c:v>
                </c:pt>
                <c:pt idx="453">
                  <c:v>1.5007436274422656</c:v>
                </c:pt>
                <c:pt idx="454">
                  <c:v>1.3395979533354174</c:v>
                </c:pt>
                <c:pt idx="455">
                  <c:v>1.1770310197827325</c:v>
                </c:pt>
                <c:pt idx="456">
                  <c:v>1.0130831762111172</c:v>
                </c:pt>
                <c:pt idx="457">
                  <c:v>0.84779448005599878</c:v>
                </c:pt>
                <c:pt idx="458">
                  <c:v>0.68120463098693063</c:v>
                </c:pt>
                <c:pt idx="459">
                  <c:v>0.51335291009591977</c:v>
                </c:pt>
                <c:pt idx="460">
                  <c:v>0.34427812401440377</c:v>
                </c:pt>
                <c:pt idx="461">
                  <c:v>0.17401855389342039</c:v>
                </c:pt>
                <c:pt idx="462">
                  <c:v>2.6119091519577649E-3</c:v>
                </c:pt>
                <c:pt idx="463">
                  <c:v>-0.16990471412288499</c:v>
                </c:pt>
                <c:pt idx="464">
                  <c:v>-0.34349487026488124</c:v>
                </c:pt>
                <c:pt idx="465">
                  <c:v>-0.51812279676266282</c:v>
                </c:pt>
                <c:pt idx="466">
                  <c:v>-0.69375344281154339</c:v>
                </c:pt>
                <c:pt idx="467">
                  <c:v>-0.87035249386665603</c:v>
                </c:pt>
                <c:pt idx="468">
                  <c:v>-1.0478863923906083</c:v>
                </c:pt>
                <c:pt idx="469">
                  <c:v>-1.2263223549954514</c:v>
                </c:pt>
                <c:pt idx="470">
                  <c:v>-1.4056283861829686</c:v>
                </c:pt>
                <c:pt idx="471">
                  <c:v>-1.5857732888905987</c:v>
                </c:pt>
                <c:pt idx="472">
                  <c:v>-1.7667266720481405</c:v>
                </c:pt>
                <c:pt idx="473">
                  <c:v>-1.9484589553525746</c:v>
                </c:pt>
                <c:pt idx="474">
                  <c:v>-2.130941371463571</c:v>
                </c:pt>
                <c:pt idx="475">
                  <c:v>-2.314145965817807</c:v>
                </c:pt>
                <c:pt idx="476">
                  <c:v>-2.4980455942565998</c:v>
                </c:pt>
                <c:pt idx="477">
                  <c:v>-2.6826139186550231</c:v>
                </c:pt>
                <c:pt idx="478">
                  <c:v>-2.8678254007327428</c:v>
                </c:pt>
                <c:pt idx="479">
                  <c:v>-3.0536552942224131</c:v>
                </c:pt>
                <c:pt idx="480">
                  <c:v>-3.2400796355591401</c:v>
                </c:pt>
                <c:pt idx="481">
                  <c:v>-3.4270752332515073</c:v>
                </c:pt>
                <c:pt idx="482">
                  <c:v>-3.6146196560824757</c:v>
                </c:pt>
                <c:pt idx="483">
                  <c:v>-3.8026912202823748</c:v>
                </c:pt>
                <c:pt idx="484">
                  <c:v>-3.9912689758067428</c:v>
                </c:pt>
                <c:pt idx="485">
                  <c:v>-4.1803326918429446</c:v>
                </c:pt>
                <c:pt idx="486">
                  <c:v>-4.369862841662683</c:v>
                </c:pt>
                <c:pt idx="487">
                  <c:v>-4.5598405869282796</c:v>
                </c:pt>
                <c:pt idx="488">
                  <c:v>-4.7502477615524192</c:v>
                </c:pt>
                <c:pt idx="489">
                  <c:v>-4.9410668552043324</c:v>
                </c:pt>
                <c:pt idx="490">
                  <c:v>-5.1322809965477445</c:v>
                </c:pt>
                <c:pt idx="491">
                  <c:v>-5.3238739362878116</c:v>
                </c:pt>
                <c:pt idx="492">
                  <c:v>-5.5158300300995267</c:v>
                </c:pt>
                <c:pt idx="493">
                  <c:v>-5.7081342215006812</c:v>
                </c:pt>
                <c:pt idx="494">
                  <c:v>-5.9007720247299789</c:v>
                </c:pt>
                <c:pt idx="495">
                  <c:v>-6.0937295076817657</c:v>
                </c:pt>
                <c:pt idx="496">
                  <c:v>-6.2869932749455382</c:v>
                </c:pt>
                <c:pt idx="497">
                  <c:v>-6.4805504509927481</c:v>
                </c:pt>
                <c:pt idx="498">
                  <c:v>-6.6743886635477425</c:v>
                </c:pt>
                <c:pt idx="499">
                  <c:v>-6.8684960271770512</c:v>
                </c:pt>
                <c:pt idx="500">
                  <c:v>-7.0628611271256414</c:v>
                </c:pt>
                <c:pt idx="501">
                  <c:v>-7.257473003425039</c:v>
                </c:pt>
                <c:pt idx="502">
                  <c:v>-7.4523211352957279</c:v>
                </c:pt>
                <c:pt idx="503">
                  <c:v>-7.6473954258619141</c:v>
                </c:pt>
                <c:pt idx="504">
                  <c:v>-7.8426861871940732</c:v>
                </c:pt>
                <c:pt idx="505">
                  <c:v>-8.0381841256921742</c:v>
                </c:pt>
                <c:pt idx="506">
                  <c:v>-8.2338803278201116</c:v>
                </c:pt>
                <c:pt idx="507">
                  <c:v>-8.4297662461987848</c:v>
                </c:pt>
                <c:pt idx="508">
                  <c:v>-8.625833686063709</c:v>
                </c:pt>
                <c:pt idx="509">
                  <c:v>-8.8220747920924953</c:v>
                </c:pt>
                <c:pt idx="510">
                  <c:v>-9.01848203560216</c:v>
                </c:pt>
                <c:pt idx="511">
                  <c:v>-9.2150482021198474</c:v>
                </c:pt>
                <c:pt idx="512">
                  <c:v>-9.4117663793243214</c:v>
                </c:pt>
                <c:pt idx="513">
                  <c:v>-9.6086299453577428</c:v>
                </c:pt>
                <c:pt idx="514">
                  <c:v>-9.8056325575047136</c:v>
                </c:pt>
                <c:pt idx="515">
                  <c:v>-10.002768141234277</c:v>
                </c:pt>
                <c:pt idx="516">
                  <c:v>-10.200030879601504</c:v>
                </c:pt>
                <c:pt idx="517">
                  <c:v>-10.397415203002549</c:v>
                </c:pt>
                <c:pt idx="518">
                  <c:v>-10.594915779277443</c:v>
                </c:pt>
                <c:pt idx="519">
                  <c:v>-10.792527504154478</c:v>
                </c:pt>
                <c:pt idx="520">
                  <c:v>-10.990245492029665</c:v>
                </c:pt>
                <c:pt idx="521">
                  <c:v>-11.188065067073083</c:v>
                </c:pt>
                <c:pt idx="522">
                  <c:v>-11.385981754655619</c:v>
                </c:pt>
                <c:pt idx="523">
                  <c:v>-11.583991273087676</c:v>
                </c:pt>
                <c:pt idx="524">
                  <c:v>-11.782089525662922</c:v>
                </c:pt>
                <c:pt idx="525">
                  <c:v>-11.980272592997089</c:v>
                </c:pt>
                <c:pt idx="526">
                  <c:v>-12.17853672565621</c:v>
                </c:pt>
                <c:pt idx="527">
                  <c:v>-12.376878337063763</c:v>
                </c:pt>
                <c:pt idx="528">
                  <c:v>-12.575293996679786</c:v>
                </c:pt>
                <c:pt idx="529">
                  <c:v>-12.773780423443997</c:v>
                </c:pt>
                <c:pt idx="530">
                  <c:v>-12.972334479473073</c:v>
                </c:pt>
                <c:pt idx="531">
                  <c:v>-13.170953164006033</c:v>
                </c:pt>
                <c:pt idx="532">
                  <c:v>-13.369633607587932</c:v>
                </c:pt>
                <c:pt idx="533">
                  <c:v>-13.568373066485899</c:v>
                </c:pt>
                <c:pt idx="534">
                  <c:v>-13.767168917327098</c:v>
                </c:pt>
                <c:pt idx="535">
                  <c:v>-13.966018651953309</c:v>
                </c:pt>
                <c:pt idx="536">
                  <c:v>-14.164919872483884</c:v>
                </c:pt>
                <c:pt idx="537">
                  <c:v>-14.363870286578468</c:v>
                </c:pt>
                <c:pt idx="538">
                  <c:v>-14.562867702894566</c:v>
                </c:pt>
                <c:pt idx="539">
                  <c:v>-14.761910026730796</c:v>
                </c:pt>
                <c:pt idx="540">
                  <c:v>-14.960995255850085</c:v>
                </c:pt>
                <c:pt idx="541">
                  <c:v>-15.160121476476121</c:v>
                </c:pt>
              </c:numCache>
            </c:numRef>
          </c:yVal>
          <c:smooth val="1"/>
          <c:extLst>
            <c:ext xmlns:c16="http://schemas.microsoft.com/office/drawing/2014/chart" uri="{C3380CC4-5D6E-409C-BE32-E72D297353CC}">
              <c16:uniqueId val="{00000000-C95D-4273-8D1D-E8C586949522}"/>
            </c:ext>
          </c:extLst>
        </c:ser>
        <c:dLbls>
          <c:showLegendKey val="0"/>
          <c:showVal val="0"/>
          <c:showCatName val="0"/>
          <c:showSerName val="0"/>
          <c:showPercent val="0"/>
          <c:showBubbleSize val="0"/>
        </c:dLbls>
        <c:axId val="160531200"/>
        <c:axId val="160533120"/>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90.261831810765614</c:v>
                </c:pt>
                <c:pt idx="1">
                  <c:v>90.267930565741253</c:v>
                </c:pt>
                <c:pt idx="2">
                  <c:v>90.274171372434765</c:v>
                </c:pt>
                <c:pt idx="3">
                  <c:v>90.280557539188379</c:v>
                </c:pt>
                <c:pt idx="4">
                  <c:v>90.287092451372089</c:v>
                </c:pt>
                <c:pt idx="5">
                  <c:v>90.293779573175456</c:v>
                </c:pt>
                <c:pt idx="6">
                  <c:v>90.300622449441065</c:v>
                </c:pt>
                <c:pt idx="7">
                  <c:v>90.307624707540285</c:v>
                </c:pt>
                <c:pt idx="8">
                  <c:v>90.314790059292861</c:v>
                </c:pt>
                <c:pt idx="9">
                  <c:v>90.322122302930623</c:v>
                </c:pt>
                <c:pt idx="10">
                  <c:v>90.329625325107074</c:v>
                </c:pt>
                <c:pt idx="11">
                  <c:v>90.337303102953271</c:v>
                </c:pt>
                <c:pt idx="12">
                  <c:v>90.345159706181477</c:v>
                </c:pt>
                <c:pt idx="13">
                  <c:v>90.353199299237517</c:v>
                </c:pt>
                <c:pt idx="14">
                  <c:v>90.361426143502911</c:v>
                </c:pt>
                <c:pt idx="15">
                  <c:v>90.369844599548117</c:v>
                </c:pt>
                <c:pt idx="16">
                  <c:v>90.378459129437672</c:v>
                </c:pt>
                <c:pt idx="17">
                  <c:v>90.387274299089</c:v>
                </c:pt>
                <c:pt idx="18">
                  <c:v>90.396294780685466</c:v>
                </c:pt>
                <c:pt idx="19">
                  <c:v>90.4055253551454</c:v>
                </c:pt>
                <c:pt idx="20">
                  <c:v>90.41497091464808</c:v>
                </c:pt>
                <c:pt idx="21">
                  <c:v>90.424636465218171</c:v>
                </c:pt>
                <c:pt idx="22">
                  <c:v>90.434527129369769</c:v>
                </c:pt>
                <c:pt idx="23">
                  <c:v>90.444648148811453</c:v>
                </c:pt>
                <c:pt idx="24">
                  <c:v>90.455004887213903</c:v>
                </c:pt>
                <c:pt idx="25">
                  <c:v>90.46560283304116</c:v>
                </c:pt>
                <c:pt idx="26">
                  <c:v>90.476447602447294</c:v>
                </c:pt>
                <c:pt idx="27">
                  <c:v>90.487544942239779</c:v>
                </c:pt>
                <c:pt idx="28">
                  <c:v>90.498900732911025</c:v>
                </c:pt>
                <c:pt idx="29">
                  <c:v>90.510520991739838</c:v>
                </c:pt>
                <c:pt idx="30">
                  <c:v>90.522411875964153</c:v>
                </c:pt>
                <c:pt idx="31">
                  <c:v>90.534579686026646</c:v>
                </c:pt>
                <c:pt idx="32">
                  <c:v>90.547030868894993</c:v>
                </c:pt>
                <c:pt idx="33">
                  <c:v>90.559772021458429</c:v>
                </c:pt>
                <c:pt idx="34">
                  <c:v>90.572809894002035</c:v>
                </c:pt>
                <c:pt idx="35">
                  <c:v>90.5861513937609</c:v>
                </c:pt>
                <c:pt idx="36">
                  <c:v>90.599803588555631</c:v>
                </c:pt>
                <c:pt idx="37">
                  <c:v>90.613773710511055</c:v>
                </c:pt>
                <c:pt idx="38">
                  <c:v>90.62806915985999</c:v>
                </c:pt>
                <c:pt idx="39">
                  <c:v>90.642697508834061</c:v>
                </c:pt>
                <c:pt idx="40">
                  <c:v>90.65766650564322</c:v>
                </c:pt>
                <c:pt idx="41">
                  <c:v>90.672984078546051</c:v>
                </c:pt>
                <c:pt idx="42">
                  <c:v>90.688658340013021</c:v>
                </c:pt>
                <c:pt idx="43">
                  <c:v>90.70469759098421</c:v>
                </c:pt>
                <c:pt idx="44">
                  <c:v>90.721110325224146</c:v>
                </c:pt>
                <c:pt idx="45">
                  <c:v>90.737905233775336</c:v>
                </c:pt>
                <c:pt idx="46">
                  <c:v>90.755091209512983</c:v>
                </c:pt>
                <c:pt idx="47">
                  <c:v>90.772677351802798</c:v>
                </c:pt>
                <c:pt idx="48">
                  <c:v>90.790672971264286</c:v>
                </c:pt>
                <c:pt idx="49">
                  <c:v>90.809087594641554</c:v>
                </c:pt>
                <c:pt idx="50">
                  <c:v>90.827930969784148</c:v>
                </c:pt>
                <c:pt idx="51">
                  <c:v>90.84721307073994</c:v>
                </c:pt>
                <c:pt idx="52">
                  <c:v>90.866944102962705</c:v>
                </c:pt>
                <c:pt idx="53">
                  <c:v>90.887134508636521</c:v>
                </c:pt>
                <c:pt idx="54">
                  <c:v>90.907794972119504</c:v>
                </c:pt>
                <c:pt idx="55">
                  <c:v>90.928936425509349</c:v>
                </c:pt>
                <c:pt idx="56">
                  <c:v>90.950570054333127</c:v>
                </c:pt>
                <c:pt idx="57">
                  <c:v>90.972707303363805</c:v>
                </c:pt>
                <c:pt idx="58">
                  <c:v>90.995359882566078</c:v>
                </c:pt>
                <c:pt idx="59">
                  <c:v>91.018539773174155</c:v>
                </c:pt>
                <c:pt idx="60">
                  <c:v>91.04225923390382</c:v>
                </c:pt>
                <c:pt idx="61">
                  <c:v>91.066530807301902</c:v>
                </c:pt>
                <c:pt idx="62">
                  <c:v>91.091367326235115</c:v>
                </c:pt>
                <c:pt idx="63">
                  <c:v>91.116781920521703</c:v>
                </c:pt>
                <c:pt idx="64">
                  <c:v>91.142788023707922</c:v>
                </c:pt>
                <c:pt idx="65">
                  <c:v>91.169399379992512</c:v>
                </c:pt>
                <c:pt idx="66">
                  <c:v>91.196630051301696</c:v>
                </c:pt>
                <c:pt idx="67">
                  <c:v>91.224494424517431</c:v>
                </c:pt>
                <c:pt idx="68">
                  <c:v>91.253007218861896</c:v>
                </c:pt>
                <c:pt idx="69">
                  <c:v>91.282183493440527</c:v>
                </c:pt>
                <c:pt idx="70">
                  <c:v>91.31203865494696</c:v>
                </c:pt>
                <c:pt idx="71">
                  <c:v>91.342588465532003</c:v>
                </c:pt>
                <c:pt idx="72">
                  <c:v>91.373849050840008</c:v>
                </c:pt>
                <c:pt idx="73">
                  <c:v>91.405836908214809</c:v>
                </c:pt>
                <c:pt idx="74">
                  <c:v>91.438568915078378</c:v>
                </c:pt>
                <c:pt idx="75">
                  <c:v>91.472062337484715</c:v>
                </c:pt>
                <c:pt idx="76">
                  <c:v>91.506334838851686</c:v>
                </c:pt>
                <c:pt idx="77">
                  <c:v>91.541404488873241</c:v>
                </c:pt>
                <c:pt idx="78">
                  <c:v>91.577289772615075</c:v>
                </c:pt>
                <c:pt idx="79">
                  <c:v>91.614009599795679</c:v>
                </c:pt>
                <c:pt idx="80">
                  <c:v>91.651583314255703</c:v>
                </c:pt>
                <c:pt idx="81">
                  <c:v>91.690030703617765</c:v>
                </c:pt>
                <c:pt idx="82">
                  <c:v>91.729372009139055</c:v>
                </c:pt>
                <c:pt idx="83">
                  <c:v>91.769627935759203</c:v>
                </c:pt>
                <c:pt idx="84">
                  <c:v>91.810819662344969</c:v>
                </c:pt>
                <c:pt idx="85">
                  <c:v>91.85296885213431</c:v>
                </c:pt>
                <c:pt idx="86">
                  <c:v>91.896097663381383</c:v>
                </c:pt>
                <c:pt idx="87">
                  <c:v>91.940228760204079</c:v>
                </c:pt>
                <c:pt idx="88">
                  <c:v>91.985385323635882</c:v>
                </c:pt>
                <c:pt idx="89">
                  <c:v>92.031591062883166</c:v>
                </c:pt>
                <c:pt idx="90">
                  <c:v>92.078870226789093</c:v>
                </c:pt>
                <c:pt idx="91">
                  <c:v>92.12724761550507</c:v>
                </c:pt>
                <c:pt idx="92">
                  <c:v>92.176748592370373</c:v>
                </c:pt>
                <c:pt idx="93">
                  <c:v>92.227399096000198</c:v>
                </c:pt>
                <c:pt idx="94">
                  <c:v>92.279225652582298</c:v>
                </c:pt>
                <c:pt idx="95">
                  <c:v>92.33225538838191</c:v>
                </c:pt>
                <c:pt idx="96">
                  <c:v>92.386516042454389</c:v>
                </c:pt>
                <c:pt idx="97">
                  <c:v>92.442035979564139</c:v>
                </c:pt>
                <c:pt idx="98">
                  <c:v>92.498844203309019</c:v>
                </c:pt>
                <c:pt idx="99">
                  <c:v>92.55697036944764</c:v>
                </c:pt>
                <c:pt idx="100">
                  <c:v>92.616444799427427</c:v>
                </c:pt>
                <c:pt idx="101">
                  <c:v>92.677298494110445</c:v>
                </c:pt>
                <c:pt idx="102">
                  <c:v>92.739563147693119</c:v>
                </c:pt>
                <c:pt idx="103">
                  <c:v>92.803271161816042</c:v>
                </c:pt>
                <c:pt idx="104">
                  <c:v>92.868455659858256</c:v>
                </c:pt>
                <c:pt idx="105">
                  <c:v>92.935150501411002</c:v>
                </c:pt>
                <c:pt idx="106">
                  <c:v>93.003390296923826</c:v>
                </c:pt>
                <c:pt idx="107">
                  <c:v>93.073210422515899</c:v>
                </c:pt>
                <c:pt idx="108">
                  <c:v>93.144647034944015</c:v>
                </c:pt>
                <c:pt idx="109">
                  <c:v>93.217737086718117</c:v>
                </c:pt>
                <c:pt idx="110">
                  <c:v>93.292518341353457</c:v>
                </c:pt>
                <c:pt idx="111">
                  <c:v>93.369029388747876</c:v>
                </c:pt>
                <c:pt idx="112">
                  <c:v>93.447309660671465</c:v>
                </c:pt>
                <c:pt idx="113">
                  <c:v>93.52739944635367</c:v>
                </c:pt>
                <c:pt idx="114">
                  <c:v>93.609339908152705</c:v>
                </c:pt>
                <c:pt idx="115">
                  <c:v>93.693173097289133</c:v>
                </c:pt>
                <c:pt idx="116">
                  <c:v>93.778941969625365</c:v>
                </c:pt>
                <c:pt idx="117">
                  <c:v>93.866690401469143</c:v>
                </c:pt>
                <c:pt idx="118">
                  <c:v>93.956463205379464</c:v>
                </c:pt>
                <c:pt idx="119">
                  <c:v>94.048306145948374</c:v>
                </c:pt>
                <c:pt idx="120">
                  <c:v>94.142265955533219</c:v>
                </c:pt>
                <c:pt idx="121">
                  <c:v>94.238390349908613</c:v>
                </c:pt>
                <c:pt idx="122">
                  <c:v>94.336728043806431</c:v>
                </c:pt>
                <c:pt idx="123">
                  <c:v>94.437328766309491</c:v>
                </c:pt>
                <c:pt idx="124">
                  <c:v>94.540243276060579</c:v>
                </c:pt>
                <c:pt idx="125">
                  <c:v>94.645523376246786</c:v>
                </c:pt>
                <c:pt idx="126">
                  <c:v>94.753221929315259</c:v>
                </c:pt>
                <c:pt idx="127">
                  <c:v>94.863392871371857</c:v>
                </c:pt>
                <c:pt idx="128">
                  <c:v>94.9760912262132</c:v>
                </c:pt>
                <c:pt idx="129">
                  <c:v>95.091373118936374</c:v>
                </c:pt>
                <c:pt idx="130">
                  <c:v>95.209295789066488</c:v>
                </c:pt>
                <c:pt idx="131">
                  <c:v>95.329917603139904</c:v>
                </c:pt>
                <c:pt idx="132">
                  <c:v>95.453298066673668</c:v>
                </c:pt>
                <c:pt idx="133">
                  <c:v>95.57949783544889</c:v>
                </c:pt>
                <c:pt idx="134">
                  <c:v>95.708578726028847</c:v>
                </c:pt>
                <c:pt idx="135">
                  <c:v>95.840603725428878</c:v>
                </c:pt>
                <c:pt idx="136">
                  <c:v>95.975636999847623</c:v>
                </c:pt>
                <c:pt idx="137">
                  <c:v>96.113743902363964</c:v>
                </c:pt>
                <c:pt idx="138">
                  <c:v>96.254990979497549</c:v>
                </c:pt>
                <c:pt idx="139">
                  <c:v>96.399445976523765</c:v>
                </c:pt>
                <c:pt idx="140">
                  <c:v>96.547177841426645</c:v>
                </c:pt>
                <c:pt idx="141">
                  <c:v>96.698256727366882</c:v>
                </c:pt>
                <c:pt idx="142">
                  <c:v>96.852753993532318</c:v>
                </c:pt>
                <c:pt idx="143">
                  <c:v>97.010742204232443</c:v>
                </c:pt>
                <c:pt idx="144">
                  <c:v>97.172295126087874</c:v>
                </c:pt>
                <c:pt idx="145">
                  <c:v>97.337487723158219</c:v>
                </c:pt>
                <c:pt idx="146">
                  <c:v>97.506396149841919</c:v>
                </c:pt>
                <c:pt idx="147">
                  <c:v>97.679097741372644</c:v>
                </c:pt>
                <c:pt idx="148">
                  <c:v>97.855671001725796</c:v>
                </c:pt>
                <c:pt idx="149">
                  <c:v>98.036195588739773</c:v>
                </c:pt>
                <c:pt idx="150">
                  <c:v>98.220752296245578</c:v>
                </c:pt>
                <c:pt idx="151">
                  <c:v>98.409423032987661</c:v>
                </c:pt>
                <c:pt idx="152">
                  <c:v>98.602290798106722</c:v>
                </c:pt>
                <c:pt idx="153">
                  <c:v>98.799439652947342</c:v>
                </c:pt>
                <c:pt idx="154">
                  <c:v>99.000954688936972</c:v>
                </c:pt>
                <c:pt idx="155">
                  <c:v>99.206921991276317</c:v>
                </c:pt>
                <c:pt idx="156">
                  <c:v>99.417428598165571</c:v>
                </c:pt>
                <c:pt idx="157">
                  <c:v>99.632562455282866</c:v>
                </c:pt>
                <c:pt idx="158">
                  <c:v>99.852412365217305</c:v>
                </c:pt>
                <c:pt idx="159">
                  <c:v>100.0770679315486</c:v>
                </c:pt>
                <c:pt idx="160">
                  <c:v>100.30661949725607</c:v>
                </c:pt>
                <c:pt idx="161">
                  <c:v>100.54115807712645</c:v>
                </c:pt>
                <c:pt idx="162">
                  <c:v>100.78077528382286</c:v>
                </c:pt>
                <c:pt idx="163">
                  <c:v>101.02556324726642</c:v>
                </c:pt>
                <c:pt idx="164">
                  <c:v>101.27561452697525</c:v>
                </c:pt>
                <c:pt idx="165">
                  <c:v>101.5310220169966</c:v>
                </c:pt>
                <c:pt idx="166">
                  <c:v>101.79187884306414</c:v>
                </c:pt>
                <c:pt idx="167">
                  <c:v>102.05827825160752</c:v>
                </c:pt>
                <c:pt idx="168">
                  <c:v>102.33031349023756</c:v>
                </c:pt>
                <c:pt idx="169">
                  <c:v>102.60807767933258</c:v>
                </c:pt>
                <c:pt idx="170">
                  <c:v>102.89166367435008</c:v>
                </c:pt>
                <c:pt idx="171">
                  <c:v>103.18116391849661</c:v>
                </c:pt>
                <c:pt idx="172">
                  <c:v>103.47667028539219</c:v>
                </c:pt>
                <c:pt idx="173">
                  <c:v>103.77827391137916</c:v>
                </c:pt>
                <c:pt idx="174">
                  <c:v>104.08606501714023</c:v>
                </c:pt>
                <c:pt idx="175">
                  <c:v>104.40013271830644</c:v>
                </c:pt>
                <c:pt idx="176">
                  <c:v>104.7205648247635</c:v>
                </c:pt>
                <c:pt idx="177">
                  <c:v>105.04744762838904</c:v>
                </c:pt>
                <c:pt idx="178">
                  <c:v>105.38086567898982</c:v>
                </c:pt>
                <c:pt idx="179">
                  <c:v>105.72090154824598</c:v>
                </c:pt>
                <c:pt idx="180">
                  <c:v>106.06763558151606</c:v>
                </c:pt>
                <c:pt idx="181">
                  <c:v>106.42114563740871</c:v>
                </c:pt>
                <c:pt idx="182">
                  <c:v>106.78150681508517</c:v>
                </c:pt>
                <c:pt idx="183">
                  <c:v>107.14879116932755</c:v>
                </c:pt>
                <c:pt idx="184">
                  <c:v>107.52306741347616</c:v>
                </c:pt>
                <c:pt idx="185">
                  <c:v>107.90440061043032</c:v>
                </c:pt>
                <c:pt idx="186">
                  <c:v>108.29285185199024</c:v>
                </c:pt>
                <c:pt idx="187">
                  <c:v>108.68847792692429</c:v>
                </c:pt>
                <c:pt idx="188">
                  <c:v>109.09133097824919</c:v>
                </c:pt>
                <c:pt idx="189">
                  <c:v>109.50145815033146</c:v>
                </c:pt>
                <c:pt idx="190">
                  <c:v>109.91890122654182</c:v>
                </c:pt>
                <c:pt idx="191">
                  <c:v>110.34369625832923</c:v>
                </c:pt>
                <c:pt idx="192">
                  <c:v>110.77587318672185</c:v>
                </c:pt>
                <c:pt idx="193">
                  <c:v>111.2154554574113</c:v>
                </c:pt>
                <c:pt idx="194">
                  <c:v>111.66245963073169</c:v>
                </c:pt>
                <c:pt idx="195">
                  <c:v>112.11689498800604</c:v>
                </c:pt>
                <c:pt idx="196">
                  <c:v>112.5787631358933</c:v>
                </c:pt>
                <c:pt idx="197">
                  <c:v>113.04805761054293</c:v>
                </c:pt>
                <c:pt idx="198">
                  <c:v>113.52476348352653</c:v>
                </c:pt>
                <c:pt idx="199">
                  <c:v>114.00885697168421</c:v>
                </c:pt>
                <c:pt idx="200">
                  <c:v>114.50030505318983</c:v>
                </c:pt>
                <c:pt idx="201">
                  <c:v>114.99906509229574</c:v>
                </c:pt>
                <c:pt idx="202">
                  <c:v>115.5050844753661</c:v>
                </c:pt>
                <c:pt idx="203">
                  <c:v>116.01830026095182</c:v>
                </c:pt>
                <c:pt idx="204">
                  <c:v>116.53863884677965</c:v>
                </c:pt>
                <c:pt idx="205">
                  <c:v>117.06601565663789</c:v>
                </c:pt>
                <c:pt idx="206">
                  <c:v>117.60033485023118</c:v>
                </c:pt>
                <c:pt idx="207">
                  <c:v>118.14148905913159</c:v>
                </c:pt>
                <c:pt idx="208">
                  <c:v>118.68935915199874</c:v>
                </c:pt>
                <c:pt idx="209">
                  <c:v>119.24381403224073</c:v>
                </c:pt>
                <c:pt idx="210">
                  <c:v>119.80471047126012</c:v>
                </c:pt>
                <c:pt idx="211">
                  <c:v>120.37189298036407</c:v>
                </c:pt>
                <c:pt idx="212">
                  <c:v>120.94519372432254</c:v>
                </c:pt>
                <c:pt idx="213">
                  <c:v>121.52443247939513</c:v>
                </c:pt>
                <c:pt idx="214">
                  <c:v>122.10941663848538</c:v>
                </c:pt>
                <c:pt idx="215">
                  <c:v>122.69994126582908</c:v>
                </c:pt>
                <c:pt idx="216">
                  <c:v>123.29578920336343</c:v>
                </c:pt>
                <c:pt idx="217">
                  <c:v>123.89673123060436</c:v>
                </c:pt>
                <c:pt idx="218">
                  <c:v>124.50252627949878</c:v>
                </c:pt>
                <c:pt idx="219">
                  <c:v>125.11292170532653</c:v>
                </c:pt>
                <c:pt idx="220">
                  <c:v>125.72765361429148</c:v>
                </c:pt>
                <c:pt idx="221">
                  <c:v>126.34644724797894</c:v>
                </c:pt>
                <c:pt idx="222">
                  <c:v>126.96901742436171</c:v>
                </c:pt>
                <c:pt idx="223">
                  <c:v>127.59506903453408</c:v>
                </c:pt>
                <c:pt idx="224">
                  <c:v>128.22429759381328</c:v>
                </c:pt>
                <c:pt idx="225">
                  <c:v>128.85638984533122</c:v>
                </c:pt>
                <c:pt idx="226">
                  <c:v>129.49102441369297</c:v>
                </c:pt>
                <c:pt idx="227">
                  <c:v>130.1278725057617</c:v>
                </c:pt>
                <c:pt idx="228">
                  <c:v>130.76659865512448</c:v>
                </c:pt>
                <c:pt idx="229">
                  <c:v>131.40686150631291</c:v>
                </c:pt>
                <c:pt idx="230">
                  <c:v>132.04831463439928</c:v>
                </c:pt>
                <c:pt idx="231">
                  <c:v>132.69060739519776</c:v>
                </c:pt>
                <c:pt idx="232">
                  <c:v>133.33338580093218</c:v>
                </c:pt>
                <c:pt idx="233">
                  <c:v>133.97629341594319</c:v>
                </c:pt>
                <c:pt idx="234">
                  <c:v>134.61897226675879</c:v>
                </c:pt>
                <c:pt idx="235">
                  <c:v>135.26106376069055</c:v>
                </c:pt>
                <c:pt idx="236">
                  <c:v>135.90220960700736</c:v>
                </c:pt>
                <c:pt idx="237">
                  <c:v>136.54205273470811</c:v>
                </c:pt>
                <c:pt idx="238">
                  <c:v>137.18023820095669</c:v>
                </c:pt>
                <c:pt idx="239">
                  <c:v>137.81641408434848</c:v>
                </c:pt>
                <c:pt idx="240">
                  <c:v>138.4502323573619</c:v>
                </c:pt>
                <c:pt idx="241">
                  <c:v>139.0813497325874</c:v>
                </c:pt>
                <c:pt idx="242">
                  <c:v>139.70942847763894</c:v>
                </c:pt>
                <c:pt idx="243">
                  <c:v>140.33413719400355</c:v>
                </c:pt>
                <c:pt idx="244">
                  <c:v>140.95515155550402</c:v>
                </c:pt>
                <c:pt idx="245">
                  <c:v>141.5721550024918</c:v>
                </c:pt>
                <c:pt idx="246">
                  <c:v>142.18483938837247</c:v>
                </c:pt>
                <c:pt idx="247">
                  <c:v>142.79290557558005</c:v>
                </c:pt>
                <c:pt idx="248">
                  <c:v>143.39606397862696</c:v>
                </c:pt>
                <c:pt idx="249">
                  <c:v>143.99403505240639</c:v>
                </c:pt>
                <c:pt idx="250">
                  <c:v>144.58654972444364</c:v>
                </c:pt>
                <c:pt idx="251">
                  <c:v>145.17334977032246</c:v>
                </c:pt>
                <c:pt idx="252">
                  <c:v>145.7541881320229</c:v>
                </c:pt>
                <c:pt idx="253">
                  <c:v>146.32882917939529</c:v>
                </c:pt>
                <c:pt idx="254">
                  <c:v>146.89704891545276</c:v>
                </c:pt>
                <c:pt idx="255">
                  <c:v>147.45863512660006</c:v>
                </c:pt>
                <c:pt idx="256">
                  <c:v>148.01338747930075</c:v>
                </c:pt>
                <c:pt idx="257">
                  <c:v>148.56111756504606</c:v>
                </c:pt>
                <c:pt idx="258">
                  <c:v>149.10164889579616</c:v>
                </c:pt>
                <c:pt idx="259">
                  <c:v>149.6348168523316</c:v>
                </c:pt>
                <c:pt idx="260">
                  <c:v>150.16046858818527</c:v>
                </c:pt>
                <c:pt idx="261">
                  <c:v>150.67846289199682</c:v>
                </c:pt>
                <c:pt idx="262">
                  <c:v>151.18867001128305</c:v>
                </c:pt>
                <c:pt idx="263">
                  <c:v>151.69097144070832</c:v>
                </c:pt>
                <c:pt idx="264">
                  <c:v>152.18525967800417</c:v>
                </c:pt>
                <c:pt idx="265">
                  <c:v>152.67143795071004</c:v>
                </c:pt>
                <c:pt idx="266">
                  <c:v>153.14941991690037</c:v>
                </c:pt>
                <c:pt idx="267">
                  <c:v>153.61912934302441</c:v>
                </c:pt>
                <c:pt idx="268">
                  <c:v>154.08049976191651</c:v>
                </c:pt>
                <c:pt idx="269">
                  <c:v>154.53347411395114</c:v>
                </c:pt>
                <c:pt idx="270">
                  <c:v>154.97800437419943</c:v>
                </c:pt>
                <c:pt idx="271">
                  <c:v>155.41405116832917</c:v>
                </c:pt>
                <c:pt idx="272">
                  <c:v>155.84158337983519</c:v>
                </c:pt>
                <c:pt idx="273">
                  <c:v>156.26057775105096</c:v>
                </c:pt>
                <c:pt idx="274">
                  <c:v>156.67101848022216</c:v>
                </c:pt>
                <c:pt idx="275">
                  <c:v>157.07289681676244</c:v>
                </c:pt>
                <c:pt idx="276">
                  <c:v>157.46621065664931</c:v>
                </c:pt>
                <c:pt idx="277">
                  <c:v>157.85096413973875</c:v>
                </c:pt>
                <c:pt idx="278">
                  <c:v>158.22716725062475</c:v>
                </c:pt>
                <c:pt idx="279">
                  <c:v>158.59483542449081</c:v>
                </c:pt>
                <c:pt idx="280">
                  <c:v>158.95398915925514</c:v>
                </c:pt>
                <c:pt idx="281">
                  <c:v>159.30465363514656</c:v>
                </c:pt>
                <c:pt idx="282">
                  <c:v>159.6468583427056</c:v>
                </c:pt>
                <c:pt idx="283">
                  <c:v>159.98063672006344</c:v>
                </c:pt>
                <c:pt idx="284">
                  <c:v>160.30602580021895</c:v>
                </c:pt>
                <c:pt idx="285">
                  <c:v>160.62306586890938</c:v>
                </c:pt>
                <c:pt idx="286">
                  <c:v>160.93180013355496</c:v>
                </c:pt>
                <c:pt idx="287">
                  <c:v>161.23227440365031</c:v>
                </c:pt>
                <c:pt idx="288">
                  <c:v>161.52453678287597</c:v>
                </c:pt>
                <c:pt idx="289">
                  <c:v>161.8086373731154</c:v>
                </c:pt>
                <c:pt idx="290">
                  <c:v>162.08462799047956</c:v>
                </c:pt>
                <c:pt idx="291">
                  <c:v>162.35256189336823</c:v>
                </c:pt>
                <c:pt idx="292">
                  <c:v>162.61249352253193</c:v>
                </c:pt>
                <c:pt idx="293">
                  <c:v>162.86447825304001</c:v>
                </c:pt>
                <c:pt idx="294">
                  <c:v>163.1085721580092</c:v>
                </c:pt>
                <c:pt idx="295">
                  <c:v>163.34483178390261</c:v>
                </c:pt>
                <c:pt idx="296">
                  <c:v>163.57331393717209</c:v>
                </c:pt>
                <c:pt idx="297">
                  <c:v>163.79407548198355</c:v>
                </c:pt>
                <c:pt idx="298">
                  <c:v>164.00717314873754</c:v>
                </c:pt>
                <c:pt idx="299">
                  <c:v>164.21266335307834</c:v>
                </c:pt>
                <c:pt idx="300">
                  <c:v>164.41060202506372</c:v>
                </c:pt>
                <c:pt idx="301">
                  <c:v>164.6010444481584</c:v>
                </c:pt>
                <c:pt idx="302">
                  <c:v>164.78404510770088</c:v>
                </c:pt>
                <c:pt idx="303">
                  <c:v>164.95965754849234</c:v>
                </c:pt>
                <c:pt idx="304">
                  <c:v>165.1279342411481</c:v>
                </c:pt>
                <c:pt idx="305">
                  <c:v>165.28892645685664</c:v>
                </c:pt>
                <c:pt idx="306">
                  <c:v>165.4426841501913</c:v>
                </c:pt>
                <c:pt idx="307">
                  <c:v>165.58925584962478</c:v>
                </c:pt>
                <c:pt idx="308">
                  <c:v>165.72868855540185</c:v>
                </c:pt>
                <c:pt idx="309">
                  <c:v>165.8610276444378</c:v>
                </c:pt>
                <c:pt idx="310">
                  <c:v>165.98631678191299</c:v>
                </c:pt>
                <c:pt idx="311">
                  <c:v>166.10459783925208</c:v>
                </c:pt>
                <c:pt idx="312">
                  <c:v>166.2159108181817</c:v>
                </c:pt>
                <c:pt idx="313">
                  <c:v>166.32029378057794</c:v>
                </c:pt>
                <c:pt idx="314">
                  <c:v>166.41778278382614</c:v>
                </c:pt>
                <c:pt idx="315">
                  <c:v>166.50841182142869</c:v>
                </c:pt>
                <c:pt idx="316">
                  <c:v>166.59221276861484</c:v>
                </c:pt>
                <c:pt idx="317">
                  <c:v>166.66921533271611</c:v>
                </c:pt>
                <c:pt idx="318">
                  <c:v>166.73944700809244</c:v>
                </c:pt>
                <c:pt idx="319">
                  <c:v>166.80293303540373</c:v>
                </c:pt>
                <c:pt idx="320">
                  <c:v>166.85969636504208</c:v>
                </c:pt>
                <c:pt idx="321">
                  <c:v>166.90975762455344</c:v>
                </c:pt>
                <c:pt idx="322">
                  <c:v>166.95313508989332</c:v>
                </c:pt>
                <c:pt idx="323">
                  <c:v>166.98984466037979</c:v>
                </c:pt>
                <c:pt idx="324">
                  <c:v>167.01989983721958</c:v>
                </c:pt>
                <c:pt idx="325">
                  <c:v>167.04331170550233</c:v>
                </c:pt>
                <c:pt idx="326">
                  <c:v>167.06008891957367</c:v>
                </c:pt>
                <c:pt idx="327">
                  <c:v>167.07023769171229</c:v>
                </c:pt>
                <c:pt idx="328">
                  <c:v>167.07376178405366</c:v>
                </c:pt>
                <c:pt idx="329">
                  <c:v>167.07066250372148</c:v>
                </c:pt>
                <c:pt idx="330">
                  <c:v>167.06093870113901</c:v>
                </c:pt>
                <c:pt idx="331">
                  <c:v>167.04458677151393</c:v>
                </c:pt>
                <c:pt idx="332">
                  <c:v>167.02160065950292</c:v>
                </c:pt>
                <c:pt idx="333">
                  <c:v>166.99197186708059</c:v>
                </c:pt>
                <c:pt idx="334">
                  <c:v>166.95568946465281</c:v>
                </c:pt>
                <c:pt idx="335">
                  <c:v>166.91274010546971</c:v>
                </c:pt>
                <c:pt idx="336">
                  <c:v>166.8631080434125</c:v>
                </c:pt>
                <c:pt idx="337">
                  <c:v>166.80677515424119</c:v>
                </c:pt>
                <c:pt idx="338">
                  <c:v>166.74372096040992</c:v>
                </c:pt>
                <c:pt idx="339">
                  <c:v>166.67392265956926</c:v>
                </c:pt>
                <c:pt idx="340">
                  <c:v>166.59735515689439</c:v>
                </c:pt>
                <c:pt idx="341">
                  <c:v>166.51399110139258</c:v>
                </c:pt>
                <c:pt idx="342">
                  <c:v>166.42380092635844</c:v>
                </c:pt>
                <c:pt idx="343">
                  <c:v>166.3267528941644</c:v>
                </c:pt>
                <c:pt idx="344">
                  <c:v>166.2228131455856</c:v>
                </c:pt>
                <c:pt idx="345">
                  <c:v>166.11194575387901</c:v>
                </c:pt>
                <c:pt idx="346">
                  <c:v>165.99411278384628</c:v>
                </c:pt>
                <c:pt idx="347">
                  <c:v>165.86927435613026</c:v>
                </c:pt>
                <c:pt idx="348">
                  <c:v>165.7373887170063</c:v>
                </c:pt>
                <c:pt idx="349">
                  <c:v>165.59841231394319</c:v>
                </c:pt>
                <c:pt idx="350">
                  <c:v>165.45229987722681</c:v>
                </c:pt>
                <c:pt idx="351">
                  <c:v>165.29900450794526</c:v>
                </c:pt>
                <c:pt idx="352">
                  <c:v>165.13847777265269</c:v>
                </c:pt>
                <c:pt idx="353">
                  <c:v>164.97066980503479</c:v>
                </c:pt>
                <c:pt idx="354">
                  <c:v>164.79552941491269</c:v>
                </c:pt>
                <c:pt idx="355">
                  <c:v>164.61300420492677</c:v>
                </c:pt>
                <c:pt idx="356">
                  <c:v>164.42304069525071</c:v>
                </c:pt>
                <c:pt idx="357">
                  <c:v>164.22558445668966</c:v>
                </c:pt>
                <c:pt idx="358">
                  <c:v>164.02058025251924</c:v>
                </c:pt>
                <c:pt idx="359">
                  <c:v>163.80797218942206</c:v>
                </c:pt>
                <c:pt idx="360">
                  <c:v>163.58770387787737</c:v>
                </c:pt>
                <c:pt idx="361">
                  <c:v>163.35971860234986</c:v>
                </c:pt>
                <c:pt idx="362">
                  <c:v>163.12395950161968</c:v>
                </c:pt>
                <c:pt idx="363">
                  <c:v>162.88036975957925</c:v>
                </c:pt>
                <c:pt idx="364">
                  <c:v>162.62889280680682</c:v>
                </c:pt>
                <c:pt idx="365">
                  <c:v>162.36947253320548</c:v>
                </c:pt>
                <c:pt idx="366">
                  <c:v>162.10205351196902</c:v>
                </c:pt>
                <c:pt idx="367">
                  <c:v>161.82658123510555</c:v>
                </c:pt>
                <c:pt idx="368">
                  <c:v>161.54300236070969</c:v>
                </c:pt>
                <c:pt idx="369">
                  <c:v>161.25126497213407</c:v>
                </c:pt>
                <c:pt idx="370">
                  <c:v>160.95131884915656</c:v>
                </c:pt>
                <c:pt idx="371">
                  <c:v>160.64311575118415</c:v>
                </c:pt>
                <c:pt idx="372">
                  <c:v>160.32660971246685</c:v>
                </c:pt>
                <c:pt idx="373">
                  <c:v>160.00175734922871</c:v>
                </c:pt>
                <c:pt idx="374">
                  <c:v>159.66851817853117</c:v>
                </c:pt>
                <c:pt idx="375">
                  <c:v>159.32685494860436</c:v>
                </c:pt>
                <c:pt idx="376">
                  <c:v>158.9767339802797</c:v>
                </c:pt>
                <c:pt idx="377">
                  <c:v>158.61812551904973</c:v>
                </c:pt>
                <c:pt idx="378">
                  <c:v>158.25100409716856</c:v>
                </c:pt>
                <c:pt idx="379">
                  <c:v>157.87534890507956</c:v>
                </c:pt>
                <c:pt idx="380">
                  <c:v>157.49114417132699</c:v>
                </c:pt>
                <c:pt idx="381">
                  <c:v>157.09837954996812</c:v>
                </c:pt>
                <c:pt idx="382">
                  <c:v>156.69705051435361</c:v>
                </c:pt>
                <c:pt idx="383">
                  <c:v>156.28715875599158</c:v>
                </c:pt>
                <c:pt idx="384">
                  <c:v>155.86871258705003</c:v>
                </c:pt>
                <c:pt idx="385">
                  <c:v>155.44172734489268</c:v>
                </c:pt>
                <c:pt idx="386">
                  <c:v>155.00622579686853</c:v>
                </c:pt>
                <c:pt idx="387">
                  <c:v>154.56223854341795</c:v>
                </c:pt>
                <c:pt idx="388">
                  <c:v>154.10980441738033</c:v>
                </c:pt>
                <c:pt idx="389">
                  <c:v>153.64897087723378</c:v>
                </c:pt>
                <c:pt idx="390">
                  <c:v>153.17979439182864</c:v>
                </c:pt>
                <c:pt idx="391">
                  <c:v>152.70234081403214</c:v>
                </c:pt>
                <c:pt idx="392">
                  <c:v>152.21668574055647</c:v>
                </c:pt>
                <c:pt idx="393">
                  <c:v>151.72291485511806</c:v>
                </c:pt>
                <c:pt idx="394">
                  <c:v>151.22112425195954</c:v>
                </c:pt>
                <c:pt idx="395">
                  <c:v>150.71142073668469</c:v>
                </c:pt>
                <c:pt idx="396">
                  <c:v>150.19392210128066</c:v>
                </c:pt>
                <c:pt idx="397">
                  <c:v>149.6687573701644</c:v>
                </c:pt>
                <c:pt idx="398">
                  <c:v>149.13606701408273</c:v>
                </c:pt>
                <c:pt idx="399">
                  <c:v>148.59600312871265</c:v>
                </c:pt>
                <c:pt idx="400">
                  <c:v>148.04872957487109</c:v>
                </c:pt>
                <c:pt idx="401">
                  <c:v>147.49442207733858</c:v>
                </c:pt>
                <c:pt idx="402">
                  <c:v>146.9332682794365</c:v>
                </c:pt>
                <c:pt idx="403">
                  <c:v>146.36546775068464</c:v>
                </c:pt>
                <c:pt idx="404">
                  <c:v>145.79123194507491</c:v>
                </c:pt>
                <c:pt idx="405">
                  <c:v>145.21078410778088</c:v>
                </c:pt>
                <c:pt idx="406">
                  <c:v>144.62435912841116</c:v>
                </c:pt>
                <c:pt idx="407">
                  <c:v>144.03220333928903</c:v>
                </c:pt>
                <c:pt idx="408">
                  <c:v>143.43457425760514</c:v>
                </c:pt>
                <c:pt idx="409">
                  <c:v>142.83174027073866</c:v>
                </c:pt>
                <c:pt idx="410">
                  <c:v>142.22398026449093</c:v>
                </c:pt>
                <c:pt idx="411">
                  <c:v>141.61158319445914</c:v>
                </c:pt>
                <c:pt idx="412">
                  <c:v>140.99484760129775</c:v>
                </c:pt>
                <c:pt idx="413">
                  <c:v>140.37408107112799</c:v>
                </c:pt>
                <c:pt idx="414">
                  <c:v>139.74959964289505</c:v>
                </c:pt>
                <c:pt idx="415">
                  <c:v>139.12172716500228</c:v>
                </c:pt>
                <c:pt idx="416">
                  <c:v>138.49079460407825</c:v>
                </c:pt>
                <c:pt idx="417">
                  <c:v>137.85713930924427</c:v>
                </c:pt>
                <c:pt idx="418">
                  <c:v>137.22110423572647</c:v>
                </c:pt>
                <c:pt idx="419">
                  <c:v>136.58303713212234</c:v>
                </c:pt>
                <c:pt idx="420">
                  <c:v>135.94328969602839</c:v>
                </c:pt>
                <c:pt idx="421">
                  <c:v>135.30221670311207</c:v>
                </c:pt>
                <c:pt idx="422">
                  <c:v>134.66017511501403</c:v>
                </c:pt>
                <c:pt idx="423">
                  <c:v>134.01752317171082</c:v>
                </c:pt>
                <c:pt idx="424">
                  <c:v>133.37461947416486</c:v>
                </c:pt>
                <c:pt idx="425">
                  <c:v>132.7318220631891</c:v>
                </c:pt>
                <c:pt idx="426">
                  <c:v>132.08948750050598</c:v>
                </c:pt>
                <c:pt idx="427">
                  <c:v>131.44796995795383</c:v>
                </c:pt>
                <c:pt idx="428">
                  <c:v>130.80762032068691</c:v>
                </c:pt>
                <c:pt idx="429">
                  <c:v>130.16878531005389</c:v>
                </c:pt>
                <c:pt idx="430">
                  <c:v>129.5318066316091</c:v>
                </c:pt>
                <c:pt idx="431">
                  <c:v>128.89702015340225</c:v>
                </c:pt>
                <c:pt idx="432">
                  <c:v>128.26475511935811</c:v>
                </c:pt>
                <c:pt idx="433">
                  <c:v>127.63533340213291</c:v>
                </c:pt>
                <c:pt idx="434">
                  <c:v>127.00906879942302</c:v>
                </c:pt>
                <c:pt idx="435">
                  <c:v>126.38626637718785</c:v>
                </c:pt>
                <c:pt idx="436">
                  <c:v>125.76722186277105</c:v>
                </c:pt>
                <c:pt idx="437">
                  <c:v>125.15222109036715</c:v>
                </c:pt>
                <c:pt idx="438">
                  <c:v>124.54153950075808</c:v>
                </c:pt>
                <c:pt idx="439">
                  <c:v>123.93544169669876</c:v>
                </c:pt>
                <c:pt idx="440">
                  <c:v>123.33418105482154</c:v>
                </c:pt>
                <c:pt idx="441">
                  <c:v>122.7379993943958</c:v>
                </c:pt>
                <c:pt idx="442">
                  <c:v>122.14712670280535</c:v>
                </c:pt>
                <c:pt idx="443">
                  <c:v>121.56178091712952</c:v>
                </c:pt>
                <c:pt idx="444">
                  <c:v>120.98216776077896</c:v>
                </c:pt>
                <c:pt idx="445">
                  <c:v>120.40848063374719</c:v>
                </c:pt>
                <c:pt idx="446">
                  <c:v>119.84090055466787</c:v>
                </c:pt>
                <c:pt idx="447">
                  <c:v>119.27959615255385</c:v>
                </c:pt>
                <c:pt idx="448">
                  <c:v>118.72472370582403</c:v>
                </c:pt>
                <c:pt idx="449">
                  <c:v>118.17642722597827</c:v>
                </c:pt>
                <c:pt idx="450">
                  <c:v>117.63483858310246</c:v>
                </c:pt>
                <c:pt idx="451">
                  <c:v>117.10007767023413</c:v>
                </c:pt>
                <c:pt idx="452">
                  <c:v>116.57225260351456</c:v>
                </c:pt>
                <c:pt idx="453">
                  <c:v>116.05145995498286</c:v>
                </c:pt>
                <c:pt idx="454">
                  <c:v>115.53778501484123</c:v>
                </c:pt>
                <c:pt idx="455">
                  <c:v>115.03130208002288</c:v>
                </c:pt>
                <c:pt idx="456">
                  <c:v>114.53207476592509</c:v>
                </c:pt>
                <c:pt idx="457">
                  <c:v>114.04015633823535</c:v>
                </c:pt>
                <c:pt idx="458">
                  <c:v>113.55559006185879</c:v>
                </c:pt>
                <c:pt idx="459">
                  <c:v>113.07840956406744</c:v>
                </c:pt>
                <c:pt idx="460">
                  <c:v>112.60863920911213</c:v>
                </c:pt>
                <c:pt idx="461">
                  <c:v>112.14629448167705</c:v>
                </c:pt>
                <c:pt idx="462">
                  <c:v>111.69138237670334</c:v>
                </c:pt>
                <c:pt idx="463">
                  <c:v>111.24390179327334</c:v>
                </c:pt>
                <c:pt idx="464">
                  <c:v>110.80384393040327</c:v>
                </c:pt>
                <c:pt idx="465">
                  <c:v>110.37119268276426</c:v>
                </c:pt>
                <c:pt idx="466">
                  <c:v>109.94592503451429</c:v>
                </c:pt>
                <c:pt idx="467">
                  <c:v>109.52801144959918</c:v>
                </c:pt>
                <c:pt idx="468">
                  <c:v>109.11741625703634</c:v>
                </c:pt>
                <c:pt idx="469">
                  <c:v>108.71409802986105</c:v>
                </c:pt>
                <c:pt idx="470">
                  <c:v>108.3180099565714</c:v>
                </c:pt>
                <c:pt idx="471">
                  <c:v>107.92910020404987</c:v>
                </c:pt>
                <c:pt idx="472">
                  <c:v>107.54731227109227</c:v>
                </c:pt>
                <c:pt idx="473">
                  <c:v>107.17258533180021</c:v>
                </c:pt>
                <c:pt idx="474">
                  <c:v>106.80485456822019</c:v>
                </c:pt>
                <c:pt idx="475">
                  <c:v>106.44405149173856</c:v>
                </c:pt>
                <c:pt idx="476">
                  <c:v>106.0901042528378</c:v>
                </c:pt>
                <c:pt idx="477">
                  <c:v>105.74293793893062</c:v>
                </c:pt>
                <c:pt idx="478">
                  <c:v>105.40247486007496</c:v>
                </c:pt>
                <c:pt idx="479">
                  <c:v>105.06863482245686</c:v>
                </c:pt>
                <c:pt idx="480">
                  <c:v>104.74133538960561</c:v>
                </c:pt>
                <c:pt idx="481">
                  <c:v>104.42049213137149</c:v>
                </c:pt>
                <c:pt idx="482">
                  <c:v>104.10601886075571</c:v>
                </c:pt>
                <c:pt idx="483">
                  <c:v>103.79782785873731</c:v>
                </c:pt>
                <c:pt idx="484">
                  <c:v>103.4958300872857</c:v>
                </c:pt>
                <c:pt idx="485">
                  <c:v>103.19993539078978</c:v>
                </c:pt>
                <c:pt idx="486">
                  <c:v>102.91005268616485</c:v>
                </c:pt>
                <c:pt idx="487">
                  <c:v>102.62609014193258</c:v>
                </c:pt>
                <c:pt idx="488">
                  <c:v>102.34795534658717</c:v>
                </c:pt>
                <c:pt idx="489">
                  <c:v>102.07555546658517</c:v>
                </c:pt>
                <c:pt idx="490">
                  <c:v>101.80879739430658</c:v>
                </c:pt>
                <c:pt idx="491">
                  <c:v>101.5475878863498</c:v>
                </c:pt>
                <c:pt idx="492">
                  <c:v>101.29183369253002</c:v>
                </c:pt>
                <c:pt idx="493">
                  <c:v>101.04144167595257</c:v>
                </c:pt>
                <c:pt idx="494">
                  <c:v>100.79631892453958</c:v>
                </c:pt>
                <c:pt idx="495">
                  <c:v>100.55637285438341</c:v>
                </c:pt>
                <c:pt idx="496">
                  <c:v>100.32151130530241</c:v>
                </c:pt>
                <c:pt idx="497">
                  <c:v>100.09164262896586</c:v>
                </c:pt>
                <c:pt idx="498">
                  <c:v>99.866675769953162</c:v>
                </c:pt>
                <c:pt idx="499">
                  <c:v>99.64652034010345</c:v>
                </c:pt>
                <c:pt idx="500">
                  <c:v>99.431086686504102</c:v>
                </c:pt>
                <c:pt idx="501">
                  <c:v>99.220285953456468</c:v>
                </c:pt>
                <c:pt idx="502">
                  <c:v>99.014030138750286</c:v>
                </c:pt>
                <c:pt idx="503">
                  <c:v>98.812232144564675</c:v>
                </c:pt>
                <c:pt idx="504">
                  <c:v>98.614805823304295</c:v>
                </c:pt>
                <c:pt idx="505">
                  <c:v>98.421666018668901</c:v>
                </c:pt>
                <c:pt idx="506">
                  <c:v>98.232728602240982</c:v>
                </c:pt>
                <c:pt idx="507">
                  <c:v>98.047910505867435</c:v>
                </c:pt>
                <c:pt idx="508">
                  <c:v>97.867129750096012</c:v>
                </c:pt>
                <c:pt idx="509">
                  <c:v>97.690305468921281</c:v>
                </c:pt>
                <c:pt idx="510">
                  <c:v>97.517357931077072</c:v>
                </c:pt>
                <c:pt idx="511">
                  <c:v>97.348208558106066</c:v>
                </c:pt>
                <c:pt idx="512">
                  <c:v>97.182779939424293</c:v>
                </c:pt>
                <c:pt idx="513">
                  <c:v>97.020995844587063</c:v>
                </c:pt>
                <c:pt idx="514">
                  <c:v>96.862781232952926</c:v>
                </c:pt>
                <c:pt idx="515">
                  <c:v>96.708062260932863</c:v>
                </c:pt>
                <c:pt idx="516">
                  <c:v>96.556766287000201</c:v>
                </c:pt>
                <c:pt idx="517">
                  <c:v>96.408821874628188</c:v>
                </c:pt>
                <c:pt idx="518">
                  <c:v>96.264158793313626</c:v>
                </c:pt>
                <c:pt idx="519">
                  <c:v>96.122708017834299</c:v>
                </c:pt>
                <c:pt idx="520">
                  <c:v>95.984401725881</c:v>
                </c:pt>
                <c:pt idx="521">
                  <c:v>95.849173294195893</c:v>
                </c:pt>
                <c:pt idx="522">
                  <c:v>95.716957293341309</c:v>
                </c:pt>
                <c:pt idx="523">
                  <c:v>95.587689481216088</c:v>
                </c:pt>
                <c:pt idx="524">
                  <c:v>95.461306795427802</c:v>
                </c:pt>
                <c:pt idx="525">
                  <c:v>95.337747344625157</c:v>
                </c:pt>
                <c:pt idx="526">
                  <c:v>95.216950398885999</c:v>
                </c:pt>
                <c:pt idx="527">
                  <c:v>95.098856379250364</c:v>
                </c:pt>
                <c:pt idx="528">
                  <c:v>94.983406846484257</c:v>
                </c:pt>
                <c:pt idx="529">
                  <c:v>94.870544489151499</c:v>
                </c:pt>
                <c:pt idx="530">
                  <c:v>94.760213111068339</c:v>
                </c:pt>
                <c:pt idx="531">
                  <c:v>94.652357618208171</c:v>
                </c:pt>
                <c:pt idx="532">
                  <c:v>94.546924005121738</c:v>
                </c:pt>
                <c:pt idx="533">
                  <c:v>94.443859340929748</c:v>
                </c:pt>
                <c:pt idx="534">
                  <c:v>94.343111754946619</c:v>
                </c:pt>
                <c:pt idx="535">
                  <c:v>94.244630421983274</c:v>
                </c:pt>
                <c:pt idx="536">
                  <c:v>94.148365547379086</c:v>
                </c:pt>
                <c:pt idx="537">
                  <c:v>94.054268351805518</c:v>
                </c:pt>
                <c:pt idx="538">
                  <c:v>93.962291055883583</c:v>
                </c:pt>
                <c:pt idx="539">
                  <c:v>93.872386864651844</c:v>
                </c:pt>
                <c:pt idx="540">
                  <c:v>93.784509951920668</c:v>
                </c:pt>
                <c:pt idx="541">
                  <c:v>93.698615444544544</c:v>
                </c:pt>
              </c:numCache>
            </c:numRef>
          </c:yVal>
          <c:smooth val="1"/>
          <c:extLst>
            <c:ext xmlns:c16="http://schemas.microsoft.com/office/drawing/2014/chart" uri="{C3380CC4-5D6E-409C-BE32-E72D297353CC}">
              <c16:uniqueId val="{00000001-C95D-4273-8D1D-E8C586949522}"/>
            </c:ext>
          </c:extLst>
        </c:ser>
        <c:dLbls>
          <c:showLegendKey val="0"/>
          <c:showVal val="0"/>
          <c:showCatName val="0"/>
          <c:showSerName val="0"/>
          <c:showPercent val="0"/>
          <c:showBubbleSize val="0"/>
        </c:dLbls>
        <c:axId val="160545024"/>
        <c:axId val="160543488"/>
      </c:scatterChart>
      <c:valAx>
        <c:axId val="1605312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533120"/>
        <c:crosses val="autoZero"/>
        <c:crossBetween val="midCat"/>
      </c:valAx>
      <c:valAx>
        <c:axId val="160533120"/>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0531200"/>
        <c:crosses val="autoZero"/>
        <c:crossBetween val="midCat"/>
        <c:majorUnit val="20"/>
        <c:minorUnit val="10"/>
      </c:valAx>
      <c:valAx>
        <c:axId val="160543488"/>
        <c:scaling>
          <c:orientation val="minMax"/>
          <c:max val="180"/>
          <c:min val="-180"/>
        </c:scaling>
        <c:delete val="0"/>
        <c:axPos val="r"/>
        <c:numFmt formatCode="General" sourceLinked="1"/>
        <c:majorTickMark val="out"/>
        <c:minorTickMark val="none"/>
        <c:tickLblPos val="nextTo"/>
        <c:crossAx val="160545024"/>
        <c:crosses val="max"/>
        <c:crossBetween val="midCat"/>
        <c:majorUnit val="90"/>
        <c:minorUnit val="45"/>
      </c:valAx>
      <c:valAx>
        <c:axId val="160545024"/>
        <c:scaling>
          <c:logBase val="10"/>
          <c:orientation val="minMax"/>
        </c:scaling>
        <c:delete val="1"/>
        <c:axPos val="b"/>
        <c:numFmt formatCode="0.00" sourceLinked="1"/>
        <c:majorTickMark val="out"/>
        <c:minorTickMark val="none"/>
        <c:tickLblPos val="nextTo"/>
        <c:crossAx val="16054348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96.854716055045046</c:v>
                </c:pt>
                <c:pt idx="1">
                  <c:v>96.654049978070319</c:v>
                </c:pt>
                <c:pt idx="2">
                  <c:v>96.453352620770559</c:v>
                </c:pt>
                <c:pt idx="3">
                  <c:v>96.252622519610767</c:v>
                </c:pt>
                <c:pt idx="4">
                  <c:v>96.051858143104823</c:v>
                </c:pt>
                <c:pt idx="5">
                  <c:v>95.85105788871067</c:v>
                </c:pt>
                <c:pt idx="6">
                  <c:v>95.650220079587953</c:v>
                </c:pt>
                <c:pt idx="7">
                  <c:v>95.449342961214896</c:v>
                </c:pt>
                <c:pt idx="8">
                  <c:v>95.24842469785527</c:v>
                </c:pt>
                <c:pt idx="9">
                  <c:v>95.047463368870893</c:v>
                </c:pt>
                <c:pt idx="10">
                  <c:v>94.846456964875671</c:v>
                </c:pt>
                <c:pt idx="11">
                  <c:v>94.645403383720804</c:v>
                </c:pt>
                <c:pt idx="12">
                  <c:v>94.444300426307592</c:v>
                </c:pt>
                <c:pt idx="13">
                  <c:v>94.243145792221128</c:v>
                </c:pt>
                <c:pt idx="14">
                  <c:v>94.041937075175923</c:v>
                </c:pt>
                <c:pt idx="15">
                  <c:v>93.840671758269025</c:v>
                </c:pt>
                <c:pt idx="16">
                  <c:v>93.639347209032039</c:v>
                </c:pt>
                <c:pt idx="17">
                  <c:v>93.437960674273498</c:v>
                </c:pt>
                <c:pt idx="18">
                  <c:v>93.236509274708496</c:v>
                </c:pt>
                <c:pt idx="19">
                  <c:v>93.03498999936204</c:v>
                </c:pt>
                <c:pt idx="20">
                  <c:v>92.833399699743197</c:v>
                </c:pt>
                <c:pt idx="21">
                  <c:v>92.631735083779304</c:v>
                </c:pt>
                <c:pt idx="22">
                  <c:v>92.429992709504219</c:v>
                </c:pt>
                <c:pt idx="23">
                  <c:v>92.228168978491055</c:v>
                </c:pt>
                <c:pt idx="24">
                  <c:v>92.026260129021736</c:v>
                </c:pt>
                <c:pt idx="25">
                  <c:v>91.824262228986584</c:v>
                </c:pt>
                <c:pt idx="26">
                  <c:v>91.622171168502732</c:v>
                </c:pt>
                <c:pt idx="27">
                  <c:v>91.419982652247086</c:v>
                </c:pt>
                <c:pt idx="28">
                  <c:v>91.217692191493001</c:v>
                </c:pt>
                <c:pt idx="29">
                  <c:v>91.015295095843896</c:v>
                </c:pt>
                <c:pt idx="30">
                  <c:v>90.812786464656071</c:v>
                </c:pt>
                <c:pt idx="31">
                  <c:v>90.610161178141823</c:v>
                </c:pt>
                <c:pt idx="32">
                  <c:v>90.40741388814881</c:v>
                </c:pt>
                <c:pt idx="33">
                  <c:v>90.204539008604911</c:v>
                </c:pt>
                <c:pt idx="34">
                  <c:v>90.001530705623694</c:v>
                </c:pt>
                <c:pt idx="35">
                  <c:v>89.798382887266342</c:v>
                </c:pt>
                <c:pt idx="36">
                  <c:v>89.595089192949331</c:v>
                </c:pt>
                <c:pt idx="37">
                  <c:v>89.391642982499548</c:v>
                </c:pt>
                <c:pt idx="38">
                  <c:v>89.188037324847116</c:v>
                </c:pt>
                <c:pt idx="39">
                  <c:v>88.984264986355939</c:v>
                </c:pt>
                <c:pt idx="40">
                  <c:v>88.780318418787786</c:v>
                </c:pt>
                <c:pt idx="41">
                  <c:v>88.57618974690071</c:v>
                </c:pt>
                <c:pt idx="42">
                  <c:v>88.371870755679055</c:v>
                </c:pt>
                <c:pt idx="43">
                  <c:v>88.167352877199662</c:v>
                </c:pt>
                <c:pt idx="44">
                  <c:v>87.962627177134266</c:v>
                </c:pt>
                <c:pt idx="45">
                  <c:v>87.757684340895011</c:v>
                </c:pt>
                <c:pt idx="46">
                  <c:v>87.552514659428795</c:v>
                </c:pt>
                <c:pt idx="47">
                  <c:v>87.347108014669033</c:v>
                </c:pt>
                <c:pt idx="48">
                  <c:v>87.141453864656441</c:v>
                </c:pt>
                <c:pt idx="49">
                  <c:v>86.93554122834189</c:v>
                </c:pt>
                <c:pt idx="50">
                  <c:v>86.729358670089013</c:v>
                </c:pt>
                <c:pt idx="51">
                  <c:v>86.522894283894246</c:v>
                </c:pt>
                <c:pt idx="52">
                  <c:v>86.316135677349052</c:v>
                </c:pt>
                <c:pt idx="53">
                  <c:v>86.109069955368639</c:v>
                </c:pt>
                <c:pt idx="54">
                  <c:v>85.901683703720948</c:v>
                </c:pt>
                <c:pt idx="55">
                  <c:v>85.693962972386117</c:v>
                </c:pt>
                <c:pt idx="56">
                  <c:v>85.485893258789147</c:v>
                </c:pt>
                <c:pt idx="57">
                  <c:v>85.277459490948132</c:v>
                </c:pt>
                <c:pt idx="58">
                  <c:v>85.068646010586662</c:v>
                </c:pt>
                <c:pt idx="59">
                  <c:v>84.859436556267397</c:v>
                </c:pt>
                <c:pt idx="60">
                  <c:v>84.64981424660445</c:v>
                </c:pt>
                <c:pt idx="61">
                  <c:v>84.439761563623193</c:v>
                </c:pt>
                <c:pt idx="62">
                  <c:v>84.229260336340673</c:v>
                </c:pt>
                <c:pt idx="63">
                  <c:v>84.018291724645678</c:v>
                </c:pt>
                <c:pt idx="64">
                  <c:v>83.806836203567784</c:v>
                </c:pt>
                <c:pt idx="65">
                  <c:v>83.59487354802755</c:v>
                </c:pt>
                <c:pt idx="66">
                  <c:v>83.382382818174094</c:v>
                </c:pt>
                <c:pt idx="67">
                  <c:v>83.169342345415799</c:v>
                </c:pt>
                <c:pt idx="68">
                  <c:v>82.955729719268987</c:v>
                </c:pt>
                <c:pt idx="69">
                  <c:v>82.741521775145884</c:v>
                </c:pt>
                <c:pt idx="70">
                  <c:v>82.526694583221968</c:v>
                </c:pt>
                <c:pt idx="71">
                  <c:v>82.311223438524365</c:v>
                </c:pt>
                <c:pt idx="72">
                  <c:v>82.09508285239437</c:v>
                </c:pt>
                <c:pt idx="73">
                  <c:v>81.878246545485609</c:v>
                </c:pt>
                <c:pt idx="74">
                  <c:v>81.660687442466582</c:v>
                </c:pt>
                <c:pt idx="75">
                  <c:v>81.442377668603285</c:v>
                </c:pt>
                <c:pt idx="76">
                  <c:v>81.223288548406529</c:v>
                </c:pt>
                <c:pt idx="77">
                  <c:v>81.003390606535191</c:v>
                </c:pt>
                <c:pt idx="78">
                  <c:v>80.782653571149936</c:v>
                </c:pt>
                <c:pt idx="79">
                  <c:v>80.561046379919617</c:v>
                </c:pt>
                <c:pt idx="80">
                  <c:v>80.338537188885255</c:v>
                </c:pt>
                <c:pt idx="81">
                  <c:v>80.115093384388956</c:v>
                </c:pt>
                <c:pt idx="82">
                  <c:v>79.890681598276089</c:v>
                </c:pt>
                <c:pt idx="83">
                  <c:v>79.665267726577596</c:v>
                </c:pt>
                <c:pt idx="84">
                  <c:v>79.438816951878778</c:v>
                </c:pt>
                <c:pt idx="85">
                  <c:v>79.211293769573913</c:v>
                </c:pt>
                <c:pt idx="86">
                  <c:v>78.982662018198354</c:v>
                </c:pt>
                <c:pt idx="87">
                  <c:v>78.752884914024747</c:v>
                </c:pt>
                <c:pt idx="88">
                  <c:v>78.521925090090178</c:v>
                </c:pt>
                <c:pt idx="89">
                  <c:v>78.289744639811943</c:v>
                </c:pt>
                <c:pt idx="90">
                  <c:v>78.056305165328951</c:v>
                </c:pt>
                <c:pt idx="91">
                  <c:v>77.821567830681602</c:v>
                </c:pt>
                <c:pt idx="92">
                  <c:v>77.585493419923367</c:v>
                </c:pt>
                <c:pt idx="93">
                  <c:v>77.348042400222212</c:v>
                </c:pt>
                <c:pt idx="94">
                  <c:v>77.109174989983472</c:v>
                </c:pt>
                <c:pt idx="95">
                  <c:v>76.868851231988245</c:v>
                </c:pt>
                <c:pt idx="96">
                  <c:v>76.627031071501335</c:v>
                </c:pt>
                <c:pt idx="97">
                  <c:v>76.383674439264809</c:v>
                </c:pt>
                <c:pt idx="98">
                  <c:v>76.138741339243722</c:v>
                </c:pt>
                <c:pt idx="99">
                  <c:v>75.892191940948436</c:v>
                </c:pt>
                <c:pt idx="100">
                  <c:v>75.64398667610422</c:v>
                </c:pt>
                <c:pt idx="101">
                  <c:v>75.394086339389773</c:v>
                </c:pt>
                <c:pt idx="102">
                  <c:v>75.142452192914277</c:v>
                </c:pt>
                <c:pt idx="103">
                  <c:v>74.889046074047741</c:v>
                </c:pt>
                <c:pt idx="104">
                  <c:v>74.633830506169673</c:v>
                </c:pt>
                <c:pt idx="105">
                  <c:v>74.376768811845267</c:v>
                </c:pt>
                <c:pt idx="106">
                  <c:v>74.11782522789224</c:v>
                </c:pt>
                <c:pt idx="107">
                  <c:v>73.856965021752018</c:v>
                </c:pt>
                <c:pt idx="108">
                  <c:v>73.594154608533586</c:v>
                </c:pt>
                <c:pt idx="109">
                  <c:v>73.329361668062603</c:v>
                </c:pt>
                <c:pt idx="110">
                  <c:v>73.062555261230372</c:v>
                </c:pt>
                <c:pt idx="111">
                  <c:v>72.793705944911437</c:v>
                </c:pt>
                <c:pt idx="112">
                  <c:v>72.522785884696518</c:v>
                </c:pt>
                <c:pt idx="113">
                  <c:v>72.249768964674814</c:v>
                </c:pt>
                <c:pt idx="114">
                  <c:v>71.97463089349489</c:v>
                </c:pt>
                <c:pt idx="115">
                  <c:v>71.697349305936285</c:v>
                </c:pt>
                <c:pt idx="116">
                  <c:v>71.417903859238535</c:v>
                </c:pt>
                <c:pt idx="117">
                  <c:v>71.136276323457537</c:v>
                </c:pt>
                <c:pt idx="118">
                  <c:v>70.852450665148936</c:v>
                </c:pt>
                <c:pt idx="119">
                  <c:v>70.566413123725056</c:v>
                </c:pt>
                <c:pt idx="120">
                  <c:v>70.278152279876792</c:v>
                </c:pt>
                <c:pt idx="121">
                  <c:v>69.987659115517587</c:v>
                </c:pt>
                <c:pt idx="122">
                  <c:v>69.694927064771193</c:v>
                </c:pt>
                <c:pt idx="123">
                  <c:v>69.399952055599471</c:v>
                </c:pt>
                <c:pt idx="124">
                  <c:v>69.102732541749873</c:v>
                </c:pt>
                <c:pt idx="125">
                  <c:v>68.803269524786415</c:v>
                </c:pt>
                <c:pt idx="126">
                  <c:v>68.501566566057534</c:v>
                </c:pt>
                <c:pt idx="127">
                  <c:v>68.197629788548028</c:v>
                </c:pt>
                <c:pt idx="128">
                  <c:v>67.891467868654232</c:v>
                </c:pt>
                <c:pt idx="129">
                  <c:v>67.583092018011854</c:v>
                </c:pt>
                <c:pt idx="130">
                  <c:v>67.272515955602046</c:v>
                </c:pt>
                <c:pt idx="131">
                  <c:v>66.959755870441825</c:v>
                </c:pt>
                <c:pt idx="132">
                  <c:v>66.644830375253449</c:v>
                </c:pt>
                <c:pt idx="133">
                  <c:v>66.32776045158073</c:v>
                </c:pt>
                <c:pt idx="134">
                  <c:v>66.008569386891025</c:v>
                </c:pt>
                <c:pt idx="135">
                  <c:v>65.687282704265428</c:v>
                </c:pt>
                <c:pt idx="136">
                  <c:v>65.36392808533131</c:v>
                </c:pt>
                <c:pt idx="137">
                  <c:v>65.038535287138188</c:v>
                </c:pt>
                <c:pt idx="138">
                  <c:v>64.711136053710987</c:v>
                </c:pt>
                <c:pt idx="139">
                  <c:v>64.381764023043047</c:v>
                </c:pt>
                <c:pt idx="140">
                  <c:v>64.050454630304372</c:v>
                </c:pt>
                <c:pt idx="141">
                  <c:v>63.717245008049815</c:v>
                </c:pt>
                <c:pt idx="142">
                  <c:v>63.382173884208051</c:v>
                </c:pt>
                <c:pt idx="143">
                  <c:v>63.045281478620048</c:v>
                </c:pt>
                <c:pt idx="144">
                  <c:v>62.706609398880069</c:v>
                </c:pt>
                <c:pt idx="145">
                  <c:v>62.366200536200722</c:v>
                </c:pt>
                <c:pt idx="146">
                  <c:v>62.024098961994689</c:v>
                </c:pt>
                <c:pt idx="147">
                  <c:v>61.680349825824841</c:v>
                </c:pt>
                <c:pt idx="148">
                  <c:v>61.334999255331596</c:v>
                </c:pt>
                <c:pt idx="149">
                  <c:v>60.988094258698531</c:v>
                </c:pt>
                <c:pt idx="150">
                  <c:v>60.639682630165922</c:v>
                </c:pt>
                <c:pt idx="151">
                  <c:v>60.289812859052333</c:v>
                </c:pt>
                <c:pt idx="152">
                  <c:v>59.938534042685902</c:v>
                </c:pt>
                <c:pt idx="153">
                  <c:v>59.585895803594767</c:v>
                </c:pt>
                <c:pt idx="154">
                  <c:v>59.231948211254078</c:v>
                </c:pt>
                <c:pt idx="155">
                  <c:v>58.876741708626994</c:v>
                </c:pt>
                <c:pt idx="156">
                  <c:v>58.520327043692141</c:v>
                </c:pt>
                <c:pt idx="157">
                  <c:v>58.162755206093891</c:v>
                </c:pt>
                <c:pt idx="158">
                  <c:v>57.804077369007132</c:v>
                </c:pt>
                <c:pt idx="159">
                  <c:v>57.444344836261862</c:v>
                </c:pt>
                <c:pt idx="160">
                  <c:v>57.083608994728138</c:v>
                </c:pt>
                <c:pt idx="161">
                  <c:v>56.721921271925908</c:v>
                </c:pt>
                <c:pt idx="162">
                  <c:v>56.359333098784326</c:v>
                </c:pt>
                <c:pt idx="163">
                  <c:v>55.995895877442841</c:v>
                </c:pt>
                <c:pt idx="164">
                  <c:v>55.631660953957088</c:v>
                </c:pt>
                <c:pt idx="165">
                  <c:v>55.266679595742509</c:v>
                </c:pt>
                <c:pt idx="166">
                  <c:v>54.901002973567365</c:v>
                </c:pt>
                <c:pt idx="167">
                  <c:v>54.53468214788316</c:v>
                </c:pt>
                <c:pt idx="168">
                  <c:v>54.167768059262052</c:v>
                </c:pt>
                <c:pt idx="169">
                  <c:v>53.800311522694955</c:v>
                </c:pt>
                <c:pt idx="170">
                  <c:v>53.432363225489453</c:v>
                </c:pt>
                <c:pt idx="171">
                  <c:v>53.063973728494716</c:v>
                </c:pt>
                <c:pt idx="172">
                  <c:v>52.695193470369965</c:v>
                </c:pt>
                <c:pt idx="173">
                  <c:v>52.326072774606196</c:v>
                </c:pt>
                <c:pt idx="174">
                  <c:v>51.956661859000761</c:v>
                </c:pt>
                <c:pt idx="175">
                  <c:v>51.58701084728299</c:v>
                </c:pt>
                <c:pt idx="176">
                  <c:v>51.217169782579219</c:v>
                </c:pt>
                <c:pt idx="177">
                  <c:v>50.847188642407545</c:v>
                </c:pt>
                <c:pt idx="178">
                  <c:v>50.477117354885252</c:v>
                </c:pt>
                <c:pt idx="179">
                  <c:v>50.107005815831997</c:v>
                </c:pt>
                <c:pt idx="180">
                  <c:v>49.73690390644996</c:v>
                </c:pt>
                <c:pt idx="181">
                  <c:v>49.366861511261973</c:v>
                </c:pt>
                <c:pt idx="182">
                  <c:v>48.996928535986527</c:v>
                </c:pt>
                <c:pt idx="183">
                  <c:v>48.6271549250297</c:v>
                </c:pt>
                <c:pt idx="184">
                  <c:v>48.257590678275768</c:v>
                </c:pt>
                <c:pt idx="185">
                  <c:v>47.888285866856819</c:v>
                </c:pt>
                <c:pt idx="186">
                  <c:v>47.519290647585315</c:v>
                </c:pt>
                <c:pt idx="187">
                  <c:v>47.150655275735801</c:v>
                </c:pt>
                <c:pt idx="188">
                  <c:v>46.78243011586369</c:v>
                </c:pt>
                <c:pt idx="189">
                  <c:v>46.414665650354834</c:v>
                </c:pt>
                <c:pt idx="190">
                  <c:v>46.047412485403058</c:v>
                </c:pt>
                <c:pt idx="191">
                  <c:v>45.680721354119896</c:v>
                </c:pt>
                <c:pt idx="192">
                  <c:v>45.314643116488838</c:v>
                </c:pt>
                <c:pt idx="193">
                  <c:v>44.949228755883183</c:v>
                </c:pt>
                <c:pt idx="194">
                  <c:v>44.584529371881146</c:v>
                </c:pt>
                <c:pt idx="195">
                  <c:v>44.220596169120924</c:v>
                </c:pt>
                <c:pt idx="196">
                  <c:v>43.857480441956227</c:v>
                </c:pt>
                <c:pt idx="197">
                  <c:v>43.495233554688532</c:v>
                </c:pt>
                <c:pt idx="198">
                  <c:v>43.133906917173135</c:v>
                </c:pt>
                <c:pt idx="199">
                  <c:v>42.773551955617968</c:v>
                </c:pt>
                <c:pt idx="200">
                  <c:v>42.414220078419653</c:v>
                </c:pt>
                <c:pt idx="201">
                  <c:v>42.055962636911701</c:v>
                </c:pt>
                <c:pt idx="202">
                  <c:v>41.698830880928064</c:v>
                </c:pt>
                <c:pt idx="203">
                  <c:v>41.342875909122441</c:v>
                </c:pt>
                <c:pt idx="204">
                  <c:v>40.988148614021043</c:v>
                </c:pt>
                <c:pt idx="205">
                  <c:v>40.634699621827643</c:v>
                </c:pt>
                <c:pt idx="206">
                  <c:v>40.282579227041644</c:v>
                </c:pt>
                <c:pt idx="207">
                  <c:v>39.931837322000852</c:v>
                </c:pt>
                <c:pt idx="208">
                  <c:v>39.582523321503871</c:v>
                </c:pt>
                <c:pt idx="209">
                  <c:v>39.234686082723925</c:v>
                </c:pt>
                <c:pt idx="210">
                  <c:v>38.888373820673706</c:v>
                </c:pt>
                <c:pt idx="211">
                  <c:v>38.543634019540221</c:v>
                </c:pt>
                <c:pt idx="212">
                  <c:v>38.200513340256336</c:v>
                </c:pt>
                <c:pt idx="213">
                  <c:v>37.85905752473721</c:v>
                </c:pt>
                <c:pt idx="214">
                  <c:v>37.51931129725876</c:v>
                </c:pt>
                <c:pt idx="215">
                  <c:v>37.181318263508281</c:v>
                </c:pt>
                <c:pt idx="216">
                  <c:v>36.84512080788825</c:v>
                </c:pt>
                <c:pt idx="217">
                  <c:v>36.510759989698599</c:v>
                </c:pt>
                <c:pt idx="218">
                  <c:v>36.178275438864922</c:v>
                </c:pt>
                <c:pt idx="219">
                  <c:v>35.847705251919137</c:v>
                </c:pt>
                <c:pt idx="220">
                  <c:v>35.519085888964781</c:v>
                </c:pt>
                <c:pt idx="221">
                  <c:v>35.192452072388612</c:v>
                </c:pt>
                <c:pt idx="222">
                  <c:v>34.86783668809197</c:v>
                </c:pt>
                <c:pt idx="223">
                  <c:v>34.545270690025994</c:v>
                </c:pt>
                <c:pt idx="224">
                  <c:v>34.224783008810881</c:v>
                </c:pt>
                <c:pt idx="225">
                  <c:v>33.906400465214112</c:v>
                </c:pt>
                <c:pt idx="226">
                  <c:v>33.590147689235572</c:v>
                </c:pt>
                <c:pt idx="227">
                  <c:v>33.276047045525196</c:v>
                </c:pt>
                <c:pt idx="228">
                  <c:v>32.964118565816634</c:v>
                </c:pt>
                <c:pt idx="229">
                  <c:v>32.654379889008446</c:v>
                </c:pt>
                <c:pt idx="230">
                  <c:v>32.346846209476453</c:v>
                </c:pt>
                <c:pt idx="231">
                  <c:v>32.041530234123591</c:v>
                </c:pt>
                <c:pt idx="232">
                  <c:v>31.738442148613885</c:v>
                </c:pt>
                <c:pt idx="233">
                  <c:v>31.437589593143699</c:v>
                </c:pt>
                <c:pt idx="234">
                  <c:v>31.138977648031631</c:v>
                </c:pt>
                <c:pt idx="235">
                  <c:v>30.842608829311335</c:v>
                </c:pt>
                <c:pt idx="236">
                  <c:v>30.548483094423041</c:v>
                </c:pt>
                <c:pt idx="237">
                  <c:v>30.256597858007513</c:v>
                </c:pt>
                <c:pt idx="238">
                  <c:v>29.966948017710337</c:v>
                </c:pt>
                <c:pt idx="239">
                  <c:v>29.679525989817858</c:v>
                </c:pt>
                <c:pt idx="240">
                  <c:v>29.394321754451621</c:v>
                </c:pt>
                <c:pt idx="241">
                  <c:v>29.111322909969083</c:v>
                </c:pt>
                <c:pt idx="242">
                  <c:v>28.830514736138401</c:v>
                </c:pt>
                <c:pt idx="243">
                  <c:v>28.55188026557996</c:v>
                </c:pt>
                <c:pt idx="244">
                  <c:v>28.275400362905106</c:v>
                </c:pt>
                <c:pt idx="245">
                  <c:v>28.00105381092753</c:v>
                </c:pt>
                <c:pt idx="246">
                  <c:v>27.728817403270089</c:v>
                </c:pt>
                <c:pt idx="247">
                  <c:v>27.458666042657924</c:v>
                </c:pt>
                <c:pt idx="248">
                  <c:v>27.19057284415296</c:v>
                </c:pt>
                <c:pt idx="249">
                  <c:v>26.924509242572853</c:v>
                </c:pt>
                <c:pt idx="250">
                  <c:v>26.660445103321901</c:v>
                </c:pt>
                <c:pt idx="251">
                  <c:v>26.398348835864329</c:v>
                </c:pt>
                <c:pt idx="252">
                  <c:v>26.138187509078193</c:v>
                </c:pt>
                <c:pt idx="253">
                  <c:v>25.879926967740779</c:v>
                </c:pt>
                <c:pt idx="254">
                  <c:v>25.623531949428163</c:v>
                </c:pt>
                <c:pt idx="255">
                  <c:v>25.368966201132711</c:v>
                </c:pt>
                <c:pt idx="256">
                  <c:v>25.116192594946316</c:v>
                </c:pt>
                <c:pt idx="257">
                  <c:v>24.865173242192597</c:v>
                </c:pt>
                <c:pt idx="258">
                  <c:v>24.615869605442949</c:v>
                </c:pt>
                <c:pt idx="259">
                  <c:v>24.368242607893428</c:v>
                </c:pt>
                <c:pt idx="260">
                  <c:v>24.122252739634419</c:v>
                </c:pt>
                <c:pt idx="261">
                  <c:v>23.877860160397326</c:v>
                </c:pt>
                <c:pt idx="262">
                  <c:v>23.635024798411667</c:v>
                </c:pt>
                <c:pt idx="263">
                  <c:v>23.393706445064378</c:v>
                </c:pt>
                <c:pt idx="264">
                  <c:v>23.153864845099342</c:v>
                </c:pt>
                <c:pt idx="265">
                  <c:v>22.915459782150201</c:v>
                </c:pt>
                <c:pt idx="266">
                  <c:v>22.678451159444815</c:v>
                </c:pt>
                <c:pt idx="267">
                  <c:v>22.442799075568374</c:v>
                </c:pt>
                <c:pt idx="268">
                  <c:v>22.208463895214567</c:v>
                </c:pt>
                <c:pt idx="269">
                  <c:v>21.975406314894496</c:v>
                </c:pt>
                <c:pt idx="270">
                  <c:v>21.743587423611466</c:v>
                </c:pt>
                <c:pt idx="271">
                  <c:v>21.512968758541653</c:v>
                </c:pt>
                <c:pt idx="272">
                  <c:v>21.283512355794564</c:v>
                </c:pt>
                <c:pt idx="273">
                  <c:v>21.055180796350704</c:v>
                </c:pt>
                <c:pt idx="274">
                  <c:v>20.827937247300206</c:v>
                </c:pt>
                <c:pt idx="275">
                  <c:v>20.601745498525446</c:v>
                </c:pt>
                <c:pt idx="276">
                  <c:v>20.37656999498757</c:v>
                </c:pt>
                <c:pt idx="277">
                  <c:v>20.152375864793271</c:v>
                </c:pt>
                <c:pt idx="278">
                  <c:v>19.929128943225464</c:v>
                </c:pt>
                <c:pt idx="279">
                  <c:v>19.70679579293494</c:v>
                </c:pt>
                <c:pt idx="280">
                  <c:v>19.485343720492249</c:v>
                </c:pt>
                <c:pt idx="281">
                  <c:v>19.264740789504813</c:v>
                </c:pt>
                <c:pt idx="282">
                  <c:v>19.044955830506996</c:v>
                </c:pt>
                <c:pt idx="283">
                  <c:v>18.825958447827624</c:v>
                </c:pt>
                <c:pt idx="284">
                  <c:v>18.607719023641852</c:v>
                </c:pt>
                <c:pt idx="285">
                  <c:v>18.390208719408513</c:v>
                </c:pt>
                <c:pt idx="286">
                  <c:v>18.173399474890264</c:v>
                </c:pt>
                <c:pt idx="287">
                  <c:v>17.957264004948946</c:v>
                </c:pt>
                <c:pt idx="288">
                  <c:v>17.741775794302534</c:v>
                </c:pt>
                <c:pt idx="289">
                  <c:v>17.526909090422716</c:v>
                </c:pt>
                <c:pt idx="290">
                  <c:v>17.312638894744179</c:v>
                </c:pt>
                <c:pt idx="291">
                  <c:v>17.098940952349352</c:v>
                </c:pt>
                <c:pt idx="292">
                  <c:v>16.885791740284965</c:v>
                </c:pt>
                <c:pt idx="293">
                  <c:v>16.673168454656299</c:v>
                </c:pt>
                <c:pt idx="294">
                  <c:v>16.461048996637594</c:v>
                </c:pt>
                <c:pt idx="295">
                  <c:v>16.249411957529393</c:v>
                </c:pt>
                <c:pt idx="296">
                  <c:v>16.038236602983314</c:v>
                </c:pt>
                <c:pt idx="297">
                  <c:v>15.827502856507312</c:v>
                </c:pt>
                <c:pt idx="298">
                  <c:v>15.61719128235627</c:v>
                </c:pt>
                <c:pt idx="299">
                  <c:v>15.407283067905047</c:v>
                </c:pt>
                <c:pt idx="300">
                  <c:v>15.197760005591569</c:v>
                </c:pt>
                <c:pt idx="301">
                  <c:v>14.988604474513711</c:v>
                </c:pt>
                <c:pt idx="302">
                  <c:v>14.779799421751502</c:v>
                </c:pt>
                <c:pt idx="303">
                  <c:v>14.571328343484879</c:v>
                </c:pt>
                <c:pt idx="304">
                  <c:v>14.363175265965646</c:v>
                </c:pt>
                <c:pt idx="305">
                  <c:v>14.155324726400417</c:v>
                </c:pt>
                <c:pt idx="306">
                  <c:v>13.947761753791335</c:v>
                </c:pt>
                <c:pt idx="307">
                  <c:v>13.740471849780691</c:v>
                </c:pt>
                <c:pt idx="308">
                  <c:v>13.533440969534809</c:v>
                </c:pt>
                <c:pt idx="309">
                  <c:v>13.326655502703954</c:v>
                </c:pt>
                <c:pt idx="310">
                  <c:v>13.120102254483774</c:v>
                </c:pt>
                <c:pt idx="311">
                  <c:v>12.91376842680714</c:v>
                </c:pt>
                <c:pt idx="312">
                  <c:v>12.707641599683123</c:v>
                </c:pt>
                <c:pt idx="313">
                  <c:v>12.501709712704528</c:v>
                </c:pt>
                <c:pt idx="314">
                  <c:v>12.295961046735551</c:v>
                </c:pt>
                <c:pt idx="315">
                  <c:v>12.090384205791743</c:v>
                </c:pt>
                <c:pt idx="316">
                  <c:v>11.884968099121194</c:v>
                </c:pt>
                <c:pt idx="317">
                  <c:v>11.679701923491187</c:v>
                </c:pt>
                <c:pt idx="318">
                  <c:v>11.474575145686927</c:v>
                </c:pt>
                <c:pt idx="319">
                  <c:v>11.269577485220887</c:v>
                </c:pt>
                <c:pt idx="320">
                  <c:v>11.064698897255056</c:v>
                </c:pt>
                <c:pt idx="321">
                  <c:v>10.859929555732942</c:v>
                </c:pt>
                <c:pt idx="322">
                  <c:v>10.655259836719468</c:v>
                </c:pt>
                <c:pt idx="323">
                  <c:v>10.450680301943311</c:v>
                </c:pt>
                <c:pt idx="324">
                  <c:v>10.246181682536461</c:v>
                </c:pt>
                <c:pt idx="325">
                  <c:v>10.041754862965806</c:v>
                </c:pt>
                <c:pt idx="326">
                  <c:v>9.8373908651488726</c:v>
                </c:pt>
                <c:pt idx="327">
                  <c:v>9.63308083274514</c:v>
                </c:pt>
                <c:pt idx="328">
                  <c:v>9.4288160156190877</c:v>
                </c:pt>
                <c:pt idx="329">
                  <c:v>9.2245877544601846</c:v>
                </c:pt>
                <c:pt idx="330">
                  <c:v>9.0203874655596277</c:v>
                </c:pt>
                <c:pt idx="331">
                  <c:v>8.8162066257273626</c:v>
                </c:pt>
                <c:pt idx="332">
                  <c:v>8.6120367573483101</c:v>
                </c:pt>
                <c:pt idx="333">
                  <c:v>8.4078694135653897</c:v>
                </c:pt>
                <c:pt idx="334">
                  <c:v>8.2036961635844659</c:v>
                </c:pt>
                <c:pt idx="335">
                  <c:v>7.9995085780939927</c:v>
                </c:pt>
                <c:pt idx="336">
                  <c:v>7.7952982147929228</c:v>
                </c:pt>
                <c:pt idx="337">
                  <c:v>7.5910566040218228</c:v>
                </c:pt>
                <c:pt idx="338">
                  <c:v>7.3867752344946203</c:v>
                </c:pt>
                <c:pt idx="339">
                  <c:v>7.182445539126169</c:v>
                </c:pt>
                <c:pt idx="340">
                  <c:v>6.9780588809557837</c:v>
                </c:pt>
                <c:pt idx="341">
                  <c:v>6.7736065391654678</c:v>
                </c:pt>
                <c:pt idx="342">
                  <c:v>6.5690796951964874</c:v>
                </c:pt>
                <c:pt idx="343">
                  <c:v>6.3644694189654096</c:v>
                </c:pt>
                <c:pt idx="344">
                  <c:v>6.1597666551875454</c:v>
                </c:pt>
                <c:pt idx="345">
                  <c:v>5.9549622098147568</c:v>
                </c:pt>
                <c:pt idx="346">
                  <c:v>5.750046736597958</c:v>
                </c:pt>
                <c:pt idx="347">
                  <c:v>5.5450107237876924</c:v>
                </c:pt>
                <c:pt idx="348">
                  <c:v>5.3398444809892389</c:v>
                </c:pt>
                <c:pt idx="349">
                  <c:v>5.1345381261897005</c:v>
                </c:pt>
                <c:pt idx="350">
                  <c:v>4.9290815729822413</c:v>
                </c:pt>
                <c:pt idx="351">
                  <c:v>4.7234645180113262</c:v>
                </c:pt>
                <c:pt idx="352">
                  <c:v>4.5176764286694233</c:v>
                </c:pt>
                <c:pt idx="353">
                  <c:v>4.3117065310797056</c:v>
                </c:pt>
                <c:pt idx="354">
                  <c:v>4.1055437984041019</c:v>
                </c:pt>
                <c:pt idx="355">
                  <c:v>3.8991769395177354</c:v>
                </c:pt>
                <c:pt idx="356">
                  <c:v>3.692594388099331</c:v>
                </c:pt>
                <c:pt idx="357">
                  <c:v>3.4857842921911431</c:v>
                </c:pt>
                <c:pt idx="358">
                  <c:v>3.2787345042856049</c:v>
                </c:pt>
                <c:pt idx="359">
                  <c:v>3.0714325720063531</c:v>
                </c:pt>
                <c:pt idx="360">
                  <c:v>2.8638657294497021</c:v>
                </c:pt>
                <c:pt idx="361">
                  <c:v>2.6560208892678761</c:v>
                </c:pt>
                <c:pt idx="362">
                  <c:v>2.4478846355740465</c:v>
                </c:pt>
                <c:pt idx="363">
                  <c:v>2.2394432177604422</c:v>
                </c:pt>
                <c:pt idx="364">
                  <c:v>2.0306825453263326</c:v>
                </c:pt>
                <c:pt idx="365">
                  <c:v>1.8215881838185597</c:v>
                </c:pt>
                <c:pt idx="366">
                  <c:v>1.6121453519955196</c:v>
                </c:pt>
                <c:pt idx="367">
                  <c:v>1.4023389203335499</c:v>
                </c:pt>
                <c:pt idx="368">
                  <c:v>1.1921534109972434</c:v>
                </c:pt>
                <c:pt idx="369">
                  <c:v>0.98157299940813947</c:v>
                </c:pt>
                <c:pt idx="370">
                  <c:v>0.77058151754816018</c:v>
                </c:pt>
                <c:pt idx="371">
                  <c:v>0.55916245914250984</c:v>
                </c:pt>
                <c:pt idx="372">
                  <c:v>0.34729898687116356</c:v>
                </c:pt>
                <c:pt idx="373">
                  <c:v>0.13497394176758692</c:v>
                </c:pt>
                <c:pt idx="374">
                  <c:v>-7.7830145039750359E-2</c:v>
                </c:pt>
                <c:pt idx="375">
                  <c:v>-0.29113103807428714</c:v>
                </c:pt>
                <c:pt idx="376">
                  <c:v>-0.50494678058335229</c:v>
                </c:pt>
                <c:pt idx="377">
                  <c:v>-0.71929567476397627</c:v>
                </c:pt>
                <c:pt idx="378">
                  <c:v>-0.9341962589756645</c:v>
                </c:pt>
                <c:pt idx="379">
                  <c:v>-1.1496672817702955</c:v>
                </c:pt>
                <c:pt idx="380">
                  <c:v>-1.365727672576369</c:v>
                </c:pt>
                <c:pt idx="381">
                  <c:v>-1.5823965088747884</c:v>
                </c:pt>
                <c:pt idx="382">
                  <c:v>-1.7996929797167669</c:v>
                </c:pt>
                <c:pt idx="383">
                  <c:v>-2.0176363454370629</c:v>
                </c:pt>
                <c:pt idx="384">
                  <c:v>-2.2362458934337064</c:v>
                </c:pt>
                <c:pt idx="385">
                  <c:v>-2.4555408898959876</c:v>
                </c:pt>
                <c:pt idx="386">
                  <c:v>-2.6755405273834021</c:v>
                </c:pt>
                <c:pt idx="387">
                  <c:v>-2.8962638681782726</c:v>
                </c:pt>
                <c:pt idx="388">
                  <c:v>-3.1177297833584099</c:v>
                </c:pt>
                <c:pt idx="389">
                  <c:v>-3.339956887565918</c:v>
                </c:pt>
                <c:pt idx="390">
                  <c:v>-3.5629634694797701</c:v>
                </c:pt>
                <c:pt idx="391">
                  <c:v>-3.7867674180329116</c:v>
                </c:pt>
                <c:pt idx="392">
                  <c:v>-4.0113861444575614</c:v>
                </c:pt>
                <c:pt idx="393">
                  <c:v>-4.2368365002808739</c:v>
                </c:pt>
                <c:pt idx="394">
                  <c:v>-4.4631346914426677</c:v>
                </c:pt>
                <c:pt idx="395">
                  <c:v>-4.6902961887547798</c:v>
                </c:pt>
                <c:pt idx="396">
                  <c:v>-4.9183356349733804</c:v>
                </c:pt>
                <c:pt idx="397">
                  <c:v>-5.1472667488136814</c:v>
                </c:pt>
                <c:pt idx="398">
                  <c:v>-5.3771022262890913</c:v>
                </c:pt>
                <c:pt idx="399">
                  <c:v>-5.6078536398225598</c:v>
                </c:pt>
                <c:pt idx="400">
                  <c:v>-5.8395313356303591</c:v>
                </c:pt>
                <c:pt idx="401">
                  <c:v>-6.0721443299455462</c:v>
                </c:pt>
                <c:pt idx="402">
                  <c:v>-6.3057002047046691</c:v>
                </c:pt>
                <c:pt idx="403">
                  <c:v>-6.5402050033809704</c:v>
                </c:pt>
                <c:pt idx="404">
                  <c:v>-6.7756631277039716</c:v>
                </c:pt>
                <c:pt idx="405">
                  <c:v>-7.0120772360566921</c:v>
                </c:pt>
                <c:pt idx="406">
                  <c:v>-7.2494481443929502</c:v>
                </c:pt>
                <c:pt idx="407">
                  <c:v>-7.4877747305566578</c:v>
                </c:pt>
                <c:pt idx="408">
                  <c:v>-7.7270538429246773</c:v>
                </c:pt>
                <c:pt idx="409">
                  <c:v>-7.967280214320585</c:v>
                </c:pt>
                <c:pt idx="410">
                  <c:v>-8.208446382168809</c:v>
                </c:pt>
                <c:pt idx="411">
                  <c:v>-8.4505426158663361</c:v>
                </c:pt>
                <c:pt idx="412">
                  <c:v>-8.6935568523520832</c:v>
                </c:pt>
                <c:pt idx="413">
                  <c:v>-8.9374746408377277</c:v>
                </c:pt>
                <c:pt idx="414">
                  <c:v>-9.1822790976445088</c:v>
                </c:pt>
                <c:pt idx="415">
                  <c:v>-9.4279508720524703</c:v>
                </c:pt>
                <c:pt idx="416">
                  <c:v>-9.6744681240189649</c:v>
                </c:pt>
                <c:pt idx="417">
                  <c:v>-9.921806514565958</c:v>
                </c:pt>
                <c:pt idx="418">
                  <c:v>-10.169939209556977</c:v>
                </c:pt>
                <c:pt idx="419">
                  <c:v>-10.418836897506836</c:v>
                </c:pt>
                <c:pt idx="420">
                  <c:v>-10.668467821963297</c:v>
                </c:pt>
                <c:pt idx="421">
                  <c:v>-10.918797828900981</c:v>
                </c:pt>
                <c:pt idx="422">
                  <c:v>-11.169790429448128</c:v>
                </c:pt>
                <c:pt idx="423">
                  <c:v>-11.421406878148357</c:v>
                </c:pt>
                <c:pt idx="424">
                  <c:v>-11.673606266830124</c:v>
                </c:pt>
                <c:pt idx="425">
                  <c:v>-11.926345634024491</c:v>
                </c:pt>
                <c:pt idx="426">
                  <c:v>-12.179580089743968</c:v>
                </c:pt>
                <c:pt idx="427">
                  <c:v>-12.433262955295017</c:v>
                </c:pt>
                <c:pt idx="428">
                  <c:v>-12.687345917673429</c:v>
                </c:pt>
                <c:pt idx="429">
                  <c:v>-12.941779197965475</c:v>
                </c:pt>
                <c:pt idx="430">
                  <c:v>-13.196511733056969</c:v>
                </c:pt>
                <c:pt idx="431">
                  <c:v>-13.451491369850416</c:v>
                </c:pt>
                <c:pt idx="432">
                  <c:v>-13.706665071086093</c:v>
                </c:pt>
                <c:pt idx="433">
                  <c:v>-13.961979131790105</c:v>
                </c:pt>
                <c:pt idx="434">
                  <c:v>-14.217379405294306</c:v>
                </c:pt>
                <c:pt idx="435">
                  <c:v>-14.472811537731143</c:v>
                </c:pt>
                <c:pt idx="436">
                  <c:v>-14.728221209872011</c:v>
                </c:pt>
                <c:pt idx="437">
                  <c:v>-14.983554385162744</c:v>
                </c:pt>
                <c:pt idx="438">
                  <c:v>-15.238757562825453</c:v>
                </c:pt>
                <c:pt idx="439">
                  <c:v>-15.493778034917543</c:v>
                </c:pt>
                <c:pt idx="440">
                  <c:v>-15.748564146296339</c:v>
                </c:pt>
                <c:pt idx="441">
                  <c:v>-16.003065556505653</c:v>
                </c:pt>
                <c:pt idx="442">
                  <c:v>-16.257233502696202</c:v>
                </c:pt>
                <c:pt idx="443">
                  <c:v>-16.51102106280263</c:v>
                </c:pt>
                <c:pt idx="444">
                  <c:v>-16.764383418333729</c:v>
                </c:pt>
                <c:pt idx="445">
                  <c:v>-17.017278116280433</c:v>
                </c:pt>
                <c:pt idx="446">
                  <c:v>-17.269665329811854</c:v>
                </c:pt>
                <c:pt idx="447">
                  <c:v>-17.52150811760642</c:v>
                </c:pt>
                <c:pt idx="448">
                  <c:v>-17.772772681859252</c:v>
                </c:pt>
                <c:pt idx="449">
                  <c:v>-18.023428625202143</c:v>
                </c:pt>
                <c:pt idx="450">
                  <c:v>-18.273449206977194</c:v>
                </c:pt>
                <c:pt idx="451">
                  <c:v>-18.522811599515098</c:v>
                </c:pt>
                <c:pt idx="452">
                  <c:v>-18.771497145273393</c:v>
                </c:pt>
                <c:pt idx="453">
                  <c:v>-19.019491615892171</c:v>
                </c:pt>
                <c:pt idx="454">
                  <c:v>-19.266785474418278</c:v>
                </c:pt>
                <c:pt idx="455">
                  <c:v>-19.51337414212891</c:v>
                </c:pt>
                <c:pt idx="456">
                  <c:v>-19.75925827154747</c:v>
                </c:pt>
                <c:pt idx="457">
                  <c:v>-20.004444027383038</c:v>
                </c:pt>
                <c:pt idx="458">
                  <c:v>-20.248943377232042</c:v>
                </c:pt>
                <c:pt idx="459">
                  <c:v>-20.492774393954868</c:v>
                </c:pt>
                <c:pt idx="460">
                  <c:v>-20.73596157166871</c:v>
                </c:pt>
                <c:pt idx="461">
                  <c:v>-20.978536157269726</c:v>
                </c:pt>
                <c:pt idx="462">
                  <c:v>-21.220536499318609</c:v>
                </c:pt>
                <c:pt idx="463">
                  <c:v>-21.462008415956845</c:v>
                </c:pt>
                <c:pt idx="464">
                  <c:v>-21.703005583282476</c:v>
                </c:pt>
                <c:pt idx="465">
                  <c:v>-21.943589945268542</c:v>
                </c:pt>
                <c:pt idx="466">
                  <c:v>-22.183832145852023</c:v>
                </c:pt>
                <c:pt idx="467">
                  <c:v>-22.423811983235428</c:v>
                </c:pt>
                <c:pt idx="468">
                  <c:v>-22.663618885708004</c:v>
                </c:pt>
                <c:pt idx="469">
                  <c:v>-22.903352407396124</c:v>
                </c:pt>
                <c:pt idx="470">
                  <c:v>-23.143122741267064</c:v>
                </c:pt>
                <c:pt idx="471">
                  <c:v>-23.383051245425577</c:v>
                </c:pt>
                <c:pt idx="472">
                  <c:v>-23.62327097723427</c:v>
                </c:pt>
                <c:pt idx="473">
                  <c:v>-23.863927228056561</c:v>
                </c:pt>
                <c:pt idx="474">
                  <c:v>-24.105178049438699</c:v>
                </c:pt>
                <c:pt idx="475">
                  <c:v>-24.347194759333629</c:v>
                </c:pt>
                <c:pt idx="476">
                  <c:v>-24.590162414524769</c:v>
                </c:pt>
                <c:pt idx="477">
                  <c:v>-24.834280232760676</c:v>
                </c:pt>
                <c:pt idx="478">
                  <c:v>-25.07976194531043</c:v>
                </c:pt>
                <c:pt idx="479">
                  <c:v>-25.326836057762048</c:v>
                </c:pt>
                <c:pt idx="480">
                  <c:v>-25.575745994008415</c:v>
                </c:pt>
                <c:pt idx="481">
                  <c:v>-25.826750095633962</c:v>
                </c:pt>
                <c:pt idx="482">
                  <c:v>-26.080121446493333</c:v>
                </c:pt>
                <c:pt idx="483">
                  <c:v>-26.336147490369104</c:v>
                </c:pt>
                <c:pt idx="484">
                  <c:v>-26.595129408452163</c:v>
                </c:pt>
                <c:pt idx="485">
                  <c:v>-26.857381223281017</c:v>
                </c:pt>
                <c:pt idx="486">
                  <c:v>-27.123228597007866</c:v>
                </c:pt>
                <c:pt idx="487">
                  <c:v>-27.393007294726512</c:v>
                </c:pt>
                <c:pt idx="488">
                  <c:v>-27.667061288399353</c:v>
                </c:pt>
                <c:pt idx="489">
                  <c:v>-27.945740483894316</c:v>
                </c:pt>
                <c:pt idx="490">
                  <c:v>-28.229398062951674</c:v>
                </c:pt>
                <c:pt idx="491">
                  <c:v>-28.518387443578497</c:v>
                </c:pt>
                <c:pt idx="492">
                  <c:v>-28.813058876297561</c:v>
                </c:pt>
                <c:pt idx="493">
                  <c:v>-29.113755709514194</c:v>
                </c:pt>
                <c:pt idx="494">
                  <c:v>-29.420810374473682</c:v>
                </c:pt>
                <c:pt idx="495">
                  <c:v>-29.734540158046869</c:v>
                </c:pt>
                <c:pt idx="496">
                  <c:v>-30.0552428489151</c:v>
                </c:pt>
                <c:pt idx="497">
                  <c:v>-30.3831923584228</c:v>
                </c:pt>
                <c:pt idx="498">
                  <c:v>-30.718634430160307</c:v>
                </c:pt>
                <c:pt idx="499">
                  <c:v>-31.061782560964279</c:v>
                </c:pt>
                <c:pt idx="500">
                  <c:v>-31.412814259348771</c:v>
                </c:pt>
                <c:pt idx="501">
                  <c:v>-31.77186776457561</c:v>
                </c:pt>
                <c:pt idx="502">
                  <c:v>-32.139039340190337</c:v>
                </c:pt>
                <c:pt idx="503">
                  <c:v>-32.514381239959867</c:v>
                </c:pt>
                <c:pt idx="504">
                  <c:v>-32.897900422347547</c:v>
                </c:pt>
                <c:pt idx="505">
                  <c:v>-33.289558063097253</c:v>
                </c:pt>
                <c:pt idx="506">
                  <c:v>-33.689269885747535</c:v>
                </c:pt>
                <c:pt idx="507">
                  <c:v>-34.096907298850745</c:v>
                </c:pt>
                <c:pt idx="508">
                  <c:v>-34.512299298361754</c:v>
                </c:pt>
                <c:pt idx="509">
                  <c:v>-34.935235066019544</c:v>
                </c:pt>
                <c:pt idx="510">
                  <c:v>-35.36546717126658</c:v>
                </c:pt>
                <c:pt idx="511">
                  <c:v>-35.802715266614882</c:v>
                </c:pt>
                <c:pt idx="512">
                  <c:v>-36.246670155110422</c:v>
                </c:pt>
                <c:pt idx="513">
                  <c:v>-36.696998103912549</c:v>
                </c:pt>
                <c:pt idx="514">
                  <c:v>-37.153345279655866</c:v>
                </c:pt>
                <c:pt idx="515">
                  <c:v>-37.615342188476994</c:v>
                </c:pt>
                <c:pt idx="516">
                  <c:v>-38.082608015309901</c:v>
                </c:pt>
                <c:pt idx="517">
                  <c:v>-38.554754772027124</c:v>
                </c:pt>
                <c:pt idx="518">
                  <c:v>-39.031391180967631</c:v>
                </c:pt>
                <c:pt idx="519">
                  <c:v>-39.512126238104671</c:v>
                </c:pt>
                <c:pt idx="520">
                  <c:v>-39.996572417520483</c:v>
                </c:pt>
                <c:pt idx="521">
                  <c:v>-40.484348495098956</c:v>
                </c:pt>
                <c:pt idx="522">
                  <c:v>-40.97508198381648</c:v>
                </c:pt>
                <c:pt idx="523">
                  <c:v>-41.468411185304994</c:v>
                </c:pt>
                <c:pt idx="524">
                  <c:v>-41.963986872306421</c:v>
                </c:pt>
                <c:pt idx="525">
                  <c:v>-42.461473624228731</c:v>
                </c:pt>
                <c:pt idx="526">
                  <c:v>-42.960550843389875</c:v>
                </c:pt>
                <c:pt idx="527">
                  <c:v>-43.460913482909973</c:v>
                </c:pt>
                <c:pt idx="528">
                  <c:v>-43.962272518870691</c:v>
                </c:pt>
                <c:pt idx="529">
                  <c:v>-44.464355199621664</c:v>
                </c:pt>
                <c:pt idx="530">
                  <c:v>-44.966905104240922</c:v>
                </c:pt>
                <c:pt idx="531">
                  <c:v>-45.469682040495705</c:v>
                </c:pt>
                <c:pt idx="532">
                  <c:v>-45.972461810382171</c:v>
                </c:pt>
                <c:pt idx="533">
                  <c:v>-46.475035868736121</c:v>
                </c:pt>
                <c:pt idx="534">
                  <c:v>-46.977210897613382</c:v>
                </c:pt>
                <c:pt idx="535">
                  <c:v>-47.47880831634167</c:v>
                </c:pt>
                <c:pt idx="536">
                  <c:v>-47.979663744395566</c:v>
                </c:pt>
                <c:pt idx="537">
                  <c:v>-48.479626431662496</c:v>
                </c:pt>
                <c:pt idx="538">
                  <c:v>-48.978558668269763</c:v>
                </c:pt>
                <c:pt idx="539">
                  <c:v>-49.476335183984787</c:v>
                </c:pt>
                <c:pt idx="540">
                  <c:v>-49.972842545274347</c:v>
                </c:pt>
                <c:pt idx="541">
                  <c:v>-50.467978556435931</c:v>
                </c:pt>
              </c:numCache>
            </c:numRef>
          </c:yVal>
          <c:smooth val="1"/>
          <c:extLst>
            <c:ext xmlns:c16="http://schemas.microsoft.com/office/drawing/2014/chart" uri="{C3380CC4-5D6E-409C-BE32-E72D297353CC}">
              <c16:uniqueId val="{00000000-F188-4D39-B62C-FFCB026FFDB3}"/>
            </c:ext>
          </c:extLst>
        </c:ser>
        <c:dLbls>
          <c:showLegendKey val="0"/>
          <c:showVal val="0"/>
          <c:showCatName val="0"/>
          <c:showSerName val="0"/>
          <c:showPercent val="0"/>
          <c:showBubbleSize val="0"/>
        </c:dLbls>
        <c:axId val="160959104"/>
        <c:axId val="160985856"/>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86.978249100756088</c:v>
                </c:pt>
                <c:pt idx="1">
                  <c:v>86.908036244098042</c:v>
                </c:pt>
                <c:pt idx="2">
                  <c:v>86.836200240730761</c:v>
                </c:pt>
                <c:pt idx="3">
                  <c:v>86.762704159615012</c:v>
                </c:pt>
                <c:pt idx="4">
                  <c:v>86.687510271673958</c:v>
                </c:pt>
                <c:pt idx="5">
                  <c:v>86.610580035589663</c:v>
                </c:pt>
                <c:pt idx="6">
                  <c:v>86.531874083575218</c:v>
                </c:pt>
                <c:pt idx="7">
                  <c:v>86.451352207142023</c:v>
                </c:pt>
                <c:pt idx="8">
                  <c:v>86.368973342885212</c:v>
                </c:pt>
                <c:pt idx="9">
                  <c:v>86.284695558311014</c:v>
                </c:pt>
                <c:pt idx="10">
                  <c:v>86.198476037732846</c:v>
                </c:pt>
                <c:pt idx="11">
                  <c:v>86.110271068264211</c:v>
                </c:pt>
                <c:pt idx="12">
                  <c:v>86.0200360259402</c:v>
                </c:pt>
                <c:pt idx="13">
                  <c:v>85.9277253620008</c:v>
                </c:pt>
                <c:pt idx="14">
                  <c:v>85.833292589372604</c:v>
                </c:pt>
                <c:pt idx="15">
                  <c:v>85.73669026938839</c:v>
                </c:pt>
                <c:pt idx="16">
                  <c:v>85.637869998787124</c:v>
                </c:pt>
                <c:pt idx="17">
                  <c:v>85.536782397040113</c:v>
                </c:pt>
                <c:pt idx="18">
                  <c:v>85.433377094053014</c:v>
                </c:pt>
                <c:pt idx="19">
                  <c:v>85.32760271829666</c:v>
                </c:pt>
                <c:pt idx="20">
                  <c:v>85.219406885424021</c:v>
                </c:pt>
                <c:pt idx="21">
                  <c:v>85.108736187434602</c:v>
                </c:pt>
                <c:pt idx="22">
                  <c:v>84.995536182453023</c:v>
                </c:pt>
                <c:pt idx="23">
                  <c:v>84.879751385190872</c:v>
                </c:pt>
                <c:pt idx="24">
                  <c:v>84.761325258169578</c:v>
                </c:pt>
                <c:pt idx="25">
                  <c:v>84.640200203783522</c:v>
                </c:pt>
                <c:pt idx="26">
                  <c:v>84.516317557291956</c:v>
                </c:pt>
                <c:pt idx="27">
                  <c:v>84.389617580830276</c:v>
                </c:pt>
                <c:pt idx="28">
                  <c:v>84.260039458541812</c:v>
                </c:pt>
                <c:pt idx="29">
                  <c:v>84.127521292933281</c:v>
                </c:pt>
                <c:pt idx="30">
                  <c:v>83.992000102568838</c:v>
                </c:pt>
                <c:pt idx="31">
                  <c:v>83.853411821218884</c:v>
                </c:pt>
                <c:pt idx="32">
                  <c:v>83.711691298595383</c:v>
                </c:pt>
                <c:pt idx="33">
                  <c:v>83.56677230280394</c:v>
                </c:pt>
                <c:pt idx="34">
                  <c:v>83.418587524659628</c:v>
                </c:pt>
                <c:pt idx="35">
                  <c:v>83.26706858401802</c:v>
                </c:pt>
                <c:pt idx="36">
                  <c:v>83.112146038279732</c:v>
                </c:pt>
                <c:pt idx="37">
                  <c:v>82.953749393243896</c:v>
                </c:pt>
                <c:pt idx="38">
                  <c:v>82.791807116485572</c:v>
                </c:pt>
                <c:pt idx="39">
                  <c:v>82.626246653450949</c:v>
                </c:pt>
                <c:pt idx="40">
                  <c:v>82.456994446468428</c:v>
                </c:pt>
                <c:pt idx="41">
                  <c:v>82.283975956888284</c:v>
                </c:pt>
                <c:pt idx="42">
                  <c:v>82.10711569057149</c:v>
                </c:pt>
                <c:pt idx="43">
                  <c:v>81.926337226962161</c:v>
                </c:pt>
                <c:pt idx="44">
                  <c:v>81.741563251985923</c:v>
                </c:pt>
                <c:pt idx="45">
                  <c:v>81.552715595032339</c:v>
                </c:pt>
                <c:pt idx="46">
                  <c:v>81.359715270286785</c:v>
                </c:pt>
                <c:pt idx="47">
                  <c:v>81.162482522691462</c:v>
                </c:pt>
                <c:pt idx="48">
                  <c:v>80.96093687882572</c:v>
                </c:pt>
                <c:pt idx="49">
                  <c:v>80.754997203006624</c:v>
                </c:pt>
                <c:pt idx="50">
                  <c:v>80.54458175892411</c:v>
                </c:pt>
                <c:pt idx="51">
                  <c:v>80.329608277132863</c:v>
                </c:pt>
                <c:pt idx="52">
                  <c:v>80.109994028733809</c:v>
                </c:pt>
                <c:pt idx="53">
                  <c:v>79.885655905591221</c:v>
                </c:pt>
                <c:pt idx="54">
                  <c:v>79.656510507435641</c:v>
                </c:pt>
                <c:pt idx="55">
                  <c:v>79.422474236213219</c:v>
                </c:pt>
                <c:pt idx="56">
                  <c:v>79.183463398048119</c:v>
                </c:pt>
                <c:pt idx="57">
                  <c:v>78.939394313191173</c:v>
                </c:pt>
                <c:pt idx="58">
                  <c:v>78.690183434328787</c:v>
                </c:pt>
                <c:pt idx="59">
                  <c:v>78.43574747363354</c:v>
                </c:pt>
                <c:pt idx="60">
                  <c:v>78.176003538929109</c:v>
                </c:pt>
                <c:pt idx="61">
                  <c:v>77.910869279349384</c:v>
                </c:pt>
                <c:pt idx="62">
                  <c:v>77.64026304085877</c:v>
                </c:pt>
                <c:pt idx="63">
                  <c:v>77.364104031994273</c:v>
                </c:pt>
                <c:pt idx="64">
                  <c:v>77.082312500180834</c:v>
                </c:pt>
                <c:pt idx="65">
                  <c:v>76.794809918950094</c:v>
                </c:pt>
                <c:pt idx="66">
                  <c:v>76.501519186379355</c:v>
                </c:pt>
                <c:pt idx="67">
                  <c:v>76.20236483503399</c:v>
                </c:pt>
                <c:pt idx="68">
                  <c:v>75.89727325367862</c:v>
                </c:pt>
                <c:pt idx="69">
                  <c:v>75.586172920973283</c:v>
                </c:pt>
                <c:pt idx="70">
                  <c:v>75.268994651342695</c:v>
                </c:pt>
                <c:pt idx="71">
                  <c:v>74.945671853148738</c:v>
                </c:pt>
                <c:pt idx="72">
                  <c:v>74.616140799247873</c:v>
                </c:pt>
                <c:pt idx="73">
                  <c:v>74.280340909951207</c:v>
                </c:pt>
                <c:pt idx="74">
                  <c:v>73.938215048337099</c:v>
                </c:pt>
                <c:pt idx="75">
                  <c:v>73.589709827786763</c:v>
                </c:pt>
                <c:pt idx="76">
                  <c:v>73.234775931529114</c:v>
                </c:pt>
                <c:pt idx="77">
                  <c:v>72.873368443889973</c:v>
                </c:pt>
                <c:pt idx="78">
                  <c:v>72.505447192832534</c:v>
                </c:pt>
                <c:pt idx="79">
                  <c:v>72.130977103270524</c:v>
                </c:pt>
                <c:pt idx="80">
                  <c:v>71.749928560512075</c:v>
                </c:pt>
                <c:pt idx="81">
                  <c:v>71.362277783067398</c:v>
                </c:pt>
                <c:pt idx="82">
                  <c:v>70.968007203914311</c:v>
                </c:pt>
                <c:pt idx="83">
                  <c:v>70.567105859173694</c:v>
                </c:pt>
                <c:pt idx="84">
                  <c:v>70.15956978299532</c:v>
                </c:pt>
                <c:pt idx="85">
                  <c:v>69.745402407299792</c:v>
                </c:pt>
                <c:pt idx="86">
                  <c:v>69.32461496485638</c:v>
                </c:pt>
                <c:pt idx="87">
                  <c:v>68.897226894016072</c:v>
                </c:pt>
                <c:pt idx="88">
                  <c:v>68.463266243246991</c:v>
                </c:pt>
                <c:pt idx="89">
                  <c:v>68.022770073453458</c:v>
                </c:pt>
                <c:pt idx="90">
                  <c:v>67.575784855893545</c:v>
                </c:pt>
                <c:pt idx="91">
                  <c:v>67.122366863343814</c:v>
                </c:pt>
                <c:pt idx="92">
                  <c:v>66.662582552010704</c:v>
                </c:pt>
                <c:pt idx="93">
                  <c:v>66.196508931529223</c:v>
                </c:pt>
                <c:pt idx="94">
                  <c:v>65.72423392026532</c:v>
                </c:pt>
                <c:pt idx="95">
                  <c:v>65.245856683010572</c:v>
                </c:pt>
                <c:pt idx="96">
                  <c:v>64.761487948058246</c:v>
                </c:pt>
                <c:pt idx="97">
                  <c:v>64.271250300568468</c:v>
                </c:pt>
                <c:pt idx="98">
                  <c:v>63.775278449072559</c:v>
                </c:pt>
                <c:pt idx="99">
                  <c:v>63.273719461943358</c:v>
                </c:pt>
                <c:pt idx="100">
                  <c:v>62.766732970655973</c:v>
                </c:pt>
                <c:pt idx="101">
                  <c:v>62.254491336706245</c:v>
                </c:pt>
                <c:pt idx="102">
                  <c:v>61.737179779126073</c:v>
                </c:pt>
                <c:pt idx="103">
                  <c:v>61.214996459651005</c:v>
                </c:pt>
                <c:pt idx="104">
                  <c:v>60.688152522748446</c:v>
                </c:pt>
                <c:pt idx="105">
                  <c:v>60.156872087917918</c:v>
                </c:pt>
                <c:pt idx="106">
                  <c:v>59.621392191910168</c:v>
                </c:pt>
                <c:pt idx="107">
                  <c:v>59.081962678801204</c:v>
                </c:pt>
                <c:pt idx="108">
                  <c:v>58.538846036183045</c:v>
                </c:pt>
                <c:pt idx="109">
                  <c:v>57.992317176100066</c:v>
                </c:pt>
                <c:pt idx="110">
                  <c:v>57.442663159766703</c:v>
                </c:pt>
                <c:pt idx="111">
                  <c:v>56.890182865544297</c:v>
                </c:pt>
                <c:pt idx="112">
                  <c:v>56.335186600121965</c:v>
                </c:pt>
                <c:pt idx="113">
                  <c:v>55.777995653347723</c:v>
                </c:pt>
                <c:pt idx="114">
                  <c:v>55.218941797666936</c:v>
                </c:pt>
                <c:pt idx="115">
                  <c:v>54.658366733653615</c:v>
                </c:pt>
                <c:pt idx="116">
                  <c:v>54.09662148365409</c:v>
                </c:pt>
                <c:pt idx="117">
                  <c:v>53.534065736087904</c:v>
                </c:pt>
                <c:pt idx="118">
                  <c:v>52.971067143470457</c:v>
                </c:pt>
                <c:pt idx="119">
                  <c:v>52.408000577717516</c:v>
                </c:pt>
                <c:pt idx="120">
                  <c:v>51.845247346762889</c:v>
                </c:pt>
                <c:pt idx="121">
                  <c:v>51.283194376950298</c:v>
                </c:pt>
                <c:pt idx="122">
                  <c:v>50.722233366052656</c:v>
                </c:pt>
                <c:pt idx="123">
                  <c:v>50.162759912101656</c:v>
                </c:pt>
                <c:pt idx="124">
                  <c:v>49.60517262350168</c:v>
                </c:pt>
                <c:pt idx="125">
                  <c:v>49.049872216105811</c:v>
                </c:pt>
                <c:pt idx="126">
                  <c:v>48.49726060309051</c:v>
                </c:pt>
                <c:pt idx="127">
                  <c:v>47.947739983537822</c:v>
                </c:pt>
                <c:pt idx="128">
                  <c:v>47.401711935656408</c:v>
                </c:pt>
                <c:pt idx="129">
                  <c:v>46.859576520480324</c:v>
                </c:pt>
                <c:pt idx="130">
                  <c:v>46.321731401784589</c:v>
                </c:pt>
                <c:pt idx="131">
                  <c:v>45.788570987727091</c:v>
                </c:pt>
                <c:pt idx="132">
                  <c:v>45.260485599474578</c:v>
                </c:pt>
                <c:pt idx="133">
                  <c:v>44.737860671731291</c:v>
                </c:pt>
                <c:pt idx="134">
                  <c:v>44.221075989723879</c:v>
                </c:pt>
                <c:pt idx="135">
                  <c:v>43.71050496675516</c:v>
                </c:pt>
                <c:pt idx="136">
                  <c:v>43.206513965978282</c:v>
                </c:pt>
                <c:pt idx="137">
                  <c:v>42.709461669550763</c:v>
                </c:pt>
                <c:pt idx="138">
                  <c:v>42.219698497801311</c:v>
                </c:pt>
                <c:pt idx="139">
                  <c:v>41.737566080502553</c:v>
                </c:pt>
                <c:pt idx="140">
                  <c:v>41.263396781822735</c:v>
                </c:pt>
                <c:pt idx="141">
                  <c:v>40.797513279964214</c:v>
                </c:pt>
                <c:pt idx="142">
                  <c:v>40.340228201987955</c:v>
                </c:pt>
                <c:pt idx="143">
                  <c:v>39.891843813802062</c:v>
                </c:pt>
                <c:pt idx="144">
                  <c:v>39.452651764798539</c:v>
                </c:pt>
                <c:pt idx="145">
                  <c:v>39.022932886177919</c:v>
                </c:pt>
                <c:pt idx="146">
                  <c:v>38.602957041547604</c:v>
                </c:pt>
                <c:pt idx="147">
                  <c:v>38.192983028017359</c:v>
                </c:pt>
                <c:pt idx="148">
                  <c:v>37.793258525638407</c:v>
                </c:pt>
                <c:pt idx="149">
                  <c:v>37.404020092741533</c:v>
                </c:pt>
                <c:pt idx="150">
                  <c:v>37.025493204449788</c:v>
                </c:pt>
                <c:pt idx="151">
                  <c:v>36.657892331429721</c:v>
                </c:pt>
                <c:pt idx="152">
                  <c:v>36.301421055749863</c:v>
                </c:pt>
                <c:pt idx="153">
                  <c:v>35.956272220589483</c:v>
                </c:pt>
                <c:pt idx="154">
                  <c:v>35.622628110433553</c:v>
                </c:pt>
                <c:pt idx="155">
                  <c:v>35.300660658328844</c:v>
                </c:pt>
                <c:pt idx="156">
                  <c:v>34.990531676750486</c:v>
                </c:pt>
                <c:pt idx="157">
                  <c:v>34.692393108636665</c:v>
                </c:pt>
                <c:pt idx="158">
                  <c:v>34.406387295181467</c:v>
                </c:pt>
                <c:pt idx="159">
                  <c:v>34.13264725703732</c:v>
                </c:pt>
                <c:pt idx="160">
                  <c:v>33.871296985665396</c:v>
                </c:pt>
                <c:pt idx="161">
                  <c:v>33.622451741674901</c:v>
                </c:pt>
                <c:pt idx="162">
                  <c:v>33.386218357114593</c:v>
                </c:pt>
                <c:pt idx="163">
                  <c:v>33.1626955388111</c:v>
                </c:pt>
                <c:pt idx="164">
                  <c:v>32.951974170000923</c:v>
                </c:pt>
                <c:pt idx="165">
                  <c:v>32.754137607647422</c:v>
                </c:pt>
                <c:pt idx="166">
                  <c:v>32.569261973003073</c:v>
                </c:pt>
                <c:pt idx="167">
                  <c:v>32.397416433133365</c:v>
                </c:pt>
                <c:pt idx="168">
                  <c:v>32.238663471291702</c:v>
                </c:pt>
                <c:pt idx="169">
                  <c:v>32.093059144191436</c:v>
                </c:pt>
                <c:pt idx="170">
                  <c:v>31.960653324393977</c:v>
                </c:pt>
                <c:pt idx="171">
                  <c:v>31.841489926192125</c:v>
                </c:pt>
                <c:pt idx="172">
                  <c:v>31.735607113527347</c:v>
                </c:pt>
                <c:pt idx="173">
                  <c:v>31.643037488635215</c:v>
                </c:pt>
                <c:pt idx="174">
                  <c:v>31.563808260274129</c:v>
                </c:pt>
                <c:pt idx="175">
                  <c:v>31.497941390528613</c:v>
                </c:pt>
                <c:pt idx="176">
                  <c:v>31.44545371933788</c:v>
                </c:pt>
                <c:pt idx="177">
                  <c:v>31.406357066034474</c:v>
                </c:pt>
                <c:pt idx="178">
                  <c:v>31.380658307316498</c:v>
                </c:pt>
                <c:pt idx="179">
                  <c:v>31.368359431217939</c:v>
                </c:pt>
                <c:pt idx="180">
                  <c:v>31.369457566769494</c:v>
                </c:pt>
                <c:pt idx="181">
                  <c:v>31.383944989181071</c:v>
                </c:pt>
                <c:pt idx="182">
                  <c:v>31.411809100500001</c:v>
                </c:pt>
                <c:pt idx="183">
                  <c:v>31.453032385839627</c:v>
                </c:pt>
                <c:pt idx="184">
                  <c:v>31.507592345395636</c:v>
                </c:pt>
                <c:pt idx="185">
                  <c:v>31.57546140260742</c:v>
                </c:pt>
                <c:pt idx="186">
                  <c:v>31.656606788951148</c:v>
                </c:pt>
                <c:pt idx="187">
                  <c:v>31.750990405990819</c:v>
                </c:pt>
                <c:pt idx="188">
                  <c:v>31.858568665454843</c:v>
                </c:pt>
                <c:pt idx="189">
                  <c:v>31.979292308243178</c:v>
                </c:pt>
                <c:pt idx="190">
                  <c:v>32.113106203427591</c:v>
                </c:pt>
                <c:pt idx="191">
                  <c:v>32.259949128445662</c:v>
                </c:pt>
                <c:pt idx="192">
                  <c:v>32.419753531856905</c:v>
                </c:pt>
                <c:pt idx="193">
                  <c:v>32.592445280174687</c:v>
                </c:pt>
                <c:pt idx="194">
                  <c:v>32.777943390461346</c:v>
                </c:pt>
                <c:pt idx="195">
                  <c:v>32.97615975052959</c:v>
                </c:pt>
                <c:pt idx="196">
                  <c:v>33.186998828759869</c:v>
                </c:pt>
                <c:pt idx="197">
                  <c:v>33.410357375711776</c:v>
                </c:pt>
                <c:pt idx="198">
                  <c:v>33.646124119874365</c:v>
                </c:pt>
                <c:pt idx="199">
                  <c:v>33.894179460051681</c:v>
                </c:pt>
                <c:pt idx="200">
                  <c:v>34.154395157054289</c:v>
                </c:pt>
                <c:pt idx="201">
                  <c:v>34.426634027503816</c:v>
                </c:pt>
                <c:pt idx="202">
                  <c:v>34.710749642703156</c:v>
                </c:pt>
                <c:pt idx="203">
                  <c:v>35.006586035663744</c:v>
                </c:pt>
                <c:pt idx="204">
                  <c:v>35.313977419480167</c:v>
                </c:pt>
                <c:pt idx="205">
                  <c:v>35.632747920351399</c:v>
                </c:pt>
                <c:pt idx="206">
                  <c:v>35.962711328622824</c:v>
                </c:pt>
                <c:pt idx="207">
                  <c:v>36.303670871265716</c:v>
                </c:pt>
                <c:pt idx="208">
                  <c:v>36.655419009248305</c:v>
                </c:pt>
                <c:pt idx="209">
                  <c:v>37.0177372632361</c:v>
                </c:pt>
                <c:pt idx="210">
                  <c:v>37.390396071024547</c:v>
                </c:pt>
                <c:pt idx="211">
                  <c:v>37.773154680025506</c:v>
                </c:pt>
                <c:pt idx="212">
                  <c:v>38.165761078027479</c:v>
                </c:pt>
                <c:pt idx="213">
                  <c:v>38.567951965270908</c:v>
                </c:pt>
                <c:pt idx="214">
                  <c:v>38.979452770710097</c:v>
                </c:pt>
                <c:pt idx="215">
                  <c:v>39.399977715068275</c:v>
                </c:pt>
                <c:pt idx="216">
                  <c:v>39.829229923024201</c:v>
                </c:pt>
                <c:pt idx="217">
                  <c:v>40.266901586536633</c:v>
                </c:pt>
                <c:pt idx="218">
                  <c:v>40.712674180945228</c:v>
                </c:pt>
                <c:pt idx="219">
                  <c:v>41.166218735083234</c:v>
                </c:pt>
                <c:pt idx="220">
                  <c:v>41.627196156193627</c:v>
                </c:pt>
                <c:pt idx="221">
                  <c:v>42.095257609968741</c:v>
                </c:pt>
                <c:pt idx="222">
                  <c:v>42.57004495553106</c:v>
                </c:pt>
                <c:pt idx="223">
                  <c:v>43.051191234661282</c:v>
                </c:pt>
                <c:pt idx="224">
                  <c:v>43.538321214032244</c:v>
                </c:pt>
                <c:pt idx="225">
                  <c:v>44.031051978682441</c:v>
                </c:pt>
                <c:pt idx="226">
                  <c:v>44.528993574412468</c:v>
                </c:pt>
                <c:pt idx="227">
                  <c:v>45.031749696259659</c:v>
                </c:pt>
                <c:pt idx="228">
                  <c:v>45.538918419698824</c:v>
                </c:pt>
                <c:pt idx="229">
                  <c:v>46.050092970728215</c:v>
                </c:pt>
                <c:pt idx="230">
                  <c:v>46.564862530541049</c:v>
                </c:pt>
                <c:pt idx="231">
                  <c:v>47.082813070087624</c:v>
                </c:pt>
                <c:pt idx="232">
                  <c:v>47.603528209457416</c:v>
                </c:pt>
                <c:pt idx="233">
                  <c:v>48.126590096720307</c:v>
                </c:pt>
                <c:pt idx="234">
                  <c:v>48.651580300609417</c:v>
                </c:pt>
                <c:pt idx="235">
                  <c:v>49.178080711264791</c:v>
                </c:pt>
                <c:pt idx="236">
                  <c:v>49.705674443139898</c:v>
                </c:pt>
                <c:pt idx="237">
                  <c:v>50.233946734141071</c:v>
                </c:pt>
                <c:pt idx="238">
                  <c:v>50.762485835108151</c:v>
                </c:pt>
                <c:pt idx="239">
                  <c:v>51.290883883841978</c:v>
                </c:pt>
                <c:pt idx="240">
                  <c:v>51.818737758077319</c:v>
                </c:pt>
                <c:pt idx="241">
                  <c:v>52.34564990201909</c:v>
                </c:pt>
                <c:pt idx="242">
                  <c:v>52.871229121384793</c:v>
                </c:pt>
                <c:pt idx="243">
                  <c:v>53.395091342237201</c:v>
                </c:pt>
                <c:pt idx="244">
                  <c:v>53.916860329303582</c:v>
                </c:pt>
                <c:pt idx="245">
                  <c:v>54.436168359929596</c:v>
                </c:pt>
                <c:pt idx="246">
                  <c:v>54.952656850287305</c:v>
                </c:pt>
                <c:pt idx="247">
                  <c:v>55.465976930973312</c:v>
                </c:pt>
                <c:pt idx="248">
                  <c:v>55.975789969646492</c:v>
                </c:pt>
                <c:pt idx="249">
                  <c:v>56.481768038890799</c:v>
                </c:pt>
                <c:pt idx="250">
                  <c:v>56.983594328020835</c:v>
                </c:pt>
                <c:pt idx="251">
                  <c:v>57.480963498065044</c:v>
                </c:pt>
                <c:pt idx="252">
                  <c:v>57.97358197967452</c:v>
                </c:pt>
                <c:pt idx="253">
                  <c:v>58.46116821419448</c:v>
                </c:pt>
                <c:pt idx="254">
                  <c:v>58.943452838586175</c:v>
                </c:pt>
                <c:pt idx="255">
                  <c:v>59.420178815327098</c:v>
                </c:pt>
                <c:pt idx="256">
                  <c:v>59.89110150879619</c:v>
                </c:pt>
                <c:pt idx="257">
                  <c:v>60.355988710012866</c:v>
                </c:pt>
                <c:pt idx="258">
                  <c:v>60.814620611905816</c:v>
                </c:pt>
                <c:pt idx="259">
                  <c:v>61.266789737552116</c:v>
                </c:pt>
                <c:pt idx="260">
                  <c:v>61.712300824057856</c:v>
                </c:pt>
                <c:pt idx="261">
                  <c:v>62.150970664928209</c:v>
                </c:pt>
                <c:pt idx="262">
                  <c:v>62.582627913916049</c:v>
                </c:pt>
                <c:pt idx="263">
                  <c:v>63.007112853438024</c:v>
                </c:pt>
                <c:pt idx="264">
                  <c:v>63.424277130704475</c:v>
                </c:pt>
                <c:pt idx="265">
                  <c:v>63.833983464735219</c:v>
                </c:pt>
                <c:pt idx="266">
                  <c:v>64.2361053274238</c:v>
                </c:pt>
                <c:pt idx="267">
                  <c:v>64.630526601776481</c:v>
                </c:pt>
                <c:pt idx="268">
                  <c:v>65.01714122037977</c:v>
                </c:pt>
                <c:pt idx="269">
                  <c:v>65.395852787068065</c:v>
                </c:pt>
                <c:pt idx="270">
                  <c:v>65.76657418464643</c:v>
                </c:pt>
                <c:pt idx="271">
                  <c:v>66.129227171403826</c:v>
                </c:pt>
                <c:pt idx="272">
                  <c:v>66.483741969003106</c:v>
                </c:pt>
                <c:pt idx="273">
                  <c:v>66.830056844191731</c:v>
                </c:pt>
                <c:pt idx="274">
                  <c:v>67.168117686611069</c:v>
                </c:pt>
                <c:pt idx="275">
                  <c:v>67.497877584818056</c:v>
                </c:pt>
                <c:pt idx="276">
                  <c:v>67.819296402473526</c:v>
                </c:pt>
                <c:pt idx="277">
                  <c:v>68.132340356469612</c:v>
                </c:pt>
                <c:pt idx="278">
                  <c:v>68.436981598616498</c:v>
                </c:pt>
                <c:pt idx="279">
                  <c:v>68.733197802331318</c:v>
                </c:pt>
                <c:pt idx="280">
                  <c:v>69.02097175562325</c:v>
                </c:pt>
                <c:pt idx="281">
                  <c:v>69.300290961506434</c:v>
                </c:pt>
                <c:pt idx="282">
                  <c:v>69.571147246829668</c:v>
                </c:pt>
                <c:pt idx="283">
                  <c:v>69.833536380368088</c:v>
                </c:pt>
                <c:pt idx="284">
                  <c:v>70.087457700890695</c:v>
                </c:pt>
                <c:pt idx="285">
                  <c:v>70.332913755793854</c:v>
                </c:pt>
                <c:pt idx="286">
                  <c:v>70.569909950773024</c:v>
                </c:pt>
                <c:pt idx="287">
                  <c:v>70.798454210899607</c:v>
                </c:pt>
                <c:pt idx="288">
                  <c:v>71.01855665336906</c:v>
                </c:pt>
                <c:pt idx="289">
                  <c:v>71.230229272099407</c:v>
                </c:pt>
                <c:pt idx="290">
                  <c:v>71.433485634274277</c:v>
                </c:pt>
                <c:pt idx="291">
                  <c:v>71.628340588854257</c:v>
                </c:pt>
                <c:pt idx="292">
                  <c:v>71.814809987011827</c:v>
                </c:pt>
                <c:pt idx="293">
                  <c:v>71.992910414389513</c:v>
                </c:pt>
                <c:pt idx="294">
                  <c:v>72.162658935029285</c:v>
                </c:pt>
                <c:pt idx="295">
                  <c:v>72.324072846774442</c:v>
                </c:pt>
                <c:pt idx="296">
                  <c:v>72.477169447911606</c:v>
                </c:pt>
                <c:pt idx="297">
                  <c:v>72.621965814785241</c:v>
                </c:pt>
                <c:pt idx="298">
                  <c:v>72.758478590090405</c:v>
                </c:pt>
                <c:pt idx="299">
                  <c:v>72.886723781529327</c:v>
                </c:pt>
                <c:pt idx="300">
                  <c:v>73.006716570499336</c:v>
                </c:pt>
                <c:pt idx="301">
                  <c:v>73.118471130466901</c:v>
                </c:pt>
                <c:pt idx="302">
                  <c:v>73.222000454672667</c:v>
                </c:pt>
                <c:pt idx="303">
                  <c:v>73.317316192808349</c:v>
                </c:pt>
                <c:pt idx="304">
                  <c:v>73.40442849630206</c:v>
                </c:pt>
                <c:pt idx="305">
                  <c:v>73.48334587184948</c:v>
                </c:pt>
                <c:pt idx="306">
                  <c:v>73.5540750428314</c:v>
                </c:pt>
                <c:pt idx="307">
                  <c:v>73.616620818261978</c:v>
                </c:pt>
                <c:pt idx="308">
                  <c:v>73.670985968918885</c:v>
                </c:pt>
                <c:pt idx="309">
                  <c:v>73.717171110316116</c:v>
                </c:pt>
                <c:pt idx="310">
                  <c:v>73.755174592187871</c:v>
                </c:pt>
                <c:pt idx="311">
                  <c:v>73.784992394166025</c:v>
                </c:pt>
                <c:pt idx="312">
                  <c:v>73.806618027341827</c:v>
                </c:pt>
                <c:pt idx="313">
                  <c:v>73.820042441419787</c:v>
                </c:pt>
                <c:pt idx="314">
                  <c:v>73.825253937183902</c:v>
                </c:pt>
                <c:pt idx="315">
                  <c:v>73.822238084007665</c:v>
                </c:pt>
                <c:pt idx="316">
                  <c:v>73.810977642162243</c:v>
                </c:pt>
                <c:pt idx="317">
                  <c:v>73.791452489683792</c:v>
                </c:pt>
                <c:pt idx="318">
                  <c:v>73.763639553583218</c:v>
                </c:pt>
                <c:pt idx="319">
                  <c:v>73.727512745196492</c:v>
                </c:pt>
                <c:pt idx="320">
                  <c:v>73.683042899486139</c:v>
                </c:pt>
                <c:pt idx="321">
                  <c:v>73.630197718129921</c:v>
                </c:pt>
                <c:pt idx="322">
                  <c:v>73.5689417162382</c:v>
                </c:pt>
                <c:pt idx="323">
                  <c:v>73.499236172570633</c:v>
                </c:pt>
                <c:pt idx="324">
                  <c:v>73.42103908312896</c:v>
                </c:pt>
                <c:pt idx="325">
                  <c:v>73.334305118027913</c:v>
                </c:pt>
                <c:pt idx="326">
                  <c:v>73.238985581561181</c:v>
                </c:pt>
                <c:pt idx="327">
                  <c:v>73.135028375393418</c:v>
                </c:pt>
                <c:pt idx="328">
                  <c:v>73.022377964832131</c:v>
                </c:pt>
                <c:pt idx="329">
                  <c:v>72.90097534814835</c:v>
                </c:pt>
                <c:pt idx="330">
                  <c:v>72.770758028931951</c:v>
                </c:pt>
                <c:pt idx="331">
                  <c:v>72.631659991486842</c:v>
                </c:pt>
                <c:pt idx="332">
                  <c:v>72.483611679289069</c:v>
                </c:pt>
                <c:pt idx="333">
                  <c:v>72.32653997654667</c:v>
                </c:pt>
                <c:pt idx="334">
                  <c:v>72.160368192923229</c:v>
                </c:pt>
                <c:pt idx="335">
                  <c:v>71.985016051498789</c:v>
                </c:pt>
                <c:pt idx="336">
                  <c:v>71.800399680067088</c:v>
                </c:pt>
                <c:pt idx="337">
                  <c:v>71.606431605880516</c:v>
                </c:pt>
                <c:pt idx="338">
                  <c:v>71.403020753978751</c:v>
                </c:pt>
                <c:pt idx="339">
                  <c:v>71.190072449249854</c:v>
                </c:pt>
                <c:pt idx="340">
                  <c:v>70.967488422399171</c:v>
                </c:pt>
                <c:pt idx="341">
                  <c:v>70.735166820012125</c:v>
                </c:pt>
                <c:pt idx="342">
                  <c:v>70.493002218924261</c:v>
                </c:pt>
                <c:pt idx="343">
                  <c:v>70.240885645125559</c:v>
                </c:pt>
                <c:pt idx="344">
                  <c:v>69.978704597448328</c:v>
                </c:pt>
                <c:pt idx="345">
                  <c:v>69.706343076308556</c:v>
                </c:pt>
                <c:pt idx="346">
                  <c:v>69.42368161778559</c:v>
                </c:pt>
                <c:pt idx="347">
                  <c:v>69.130597333350963</c:v>
                </c:pt>
                <c:pt idx="348">
                  <c:v>68.826963955571173</c:v>
                </c:pt>
                <c:pt idx="349">
                  <c:v>68.51265189012824</c:v>
                </c:pt>
                <c:pt idx="350">
                  <c:v>68.187528274527992</c:v>
                </c:pt>
                <c:pt idx="351">
                  <c:v>67.851457043873339</c:v>
                </c:pt>
                <c:pt idx="352">
                  <c:v>67.504299004105022</c:v>
                </c:pt>
                <c:pt idx="353">
                  <c:v>67.145911913128003</c:v>
                </c:pt>
                <c:pt idx="354">
                  <c:v>66.776150570254089</c:v>
                </c:pt>
                <c:pt idx="355">
                  <c:v>66.39486691441391</c:v>
                </c:pt>
                <c:pt idx="356">
                  <c:v>66.001910131592808</c:v>
                </c:pt>
                <c:pt idx="357">
                  <c:v>65.597126771971659</c:v>
                </c:pt>
                <c:pt idx="358">
                  <c:v>65.180360877250465</c:v>
                </c:pt>
                <c:pt idx="359">
                  <c:v>64.751454118651893</c:v>
                </c:pt>
                <c:pt idx="360">
                  <c:v>64.310245946098007</c:v>
                </c:pt>
                <c:pt idx="361">
                  <c:v>63.856573749063749</c:v>
                </c:pt>
                <c:pt idx="362">
                  <c:v>63.390273029605517</c:v>
                </c:pt>
                <c:pt idx="363">
                  <c:v>62.911177588063801</c:v>
                </c:pt>
                <c:pt idx="364">
                  <c:v>62.419119721926371</c:v>
                </c:pt>
                <c:pt idx="365">
                  <c:v>61.913930438332045</c:v>
                </c:pt>
                <c:pt idx="366">
                  <c:v>61.395439680672354</c:v>
                </c:pt>
                <c:pt idx="367">
                  <c:v>60.863476569735241</c:v>
                </c:pt>
                <c:pt idx="368">
                  <c:v>60.317869659794042</c:v>
                </c:pt>
                <c:pt idx="369">
                  <c:v>59.758447210027448</c:v>
                </c:pt>
                <c:pt idx="370">
                  <c:v>59.185037471602882</c:v>
                </c:pt>
                <c:pt idx="371">
                  <c:v>58.597468990713836</c:v>
                </c:pt>
                <c:pt idx="372">
                  <c:v>57.995570927803421</c:v>
                </c:pt>
                <c:pt idx="373">
                  <c:v>57.379173393152087</c:v>
                </c:pt>
                <c:pt idx="374">
                  <c:v>56.748107798919264</c:v>
                </c:pt>
                <c:pt idx="375">
                  <c:v>56.102207227665822</c:v>
                </c:pt>
                <c:pt idx="376">
                  <c:v>55.441306817282374</c:v>
                </c:pt>
                <c:pt idx="377">
                  <c:v>54.765244162155604</c:v>
                </c:pt>
                <c:pt idx="378">
                  <c:v>54.07385973029222</c:v>
                </c:pt>
                <c:pt idx="379">
                  <c:v>53.366997296004946</c:v>
                </c:pt>
                <c:pt idx="380">
                  <c:v>52.644504387635031</c:v>
                </c:pt>
                <c:pt idx="381">
                  <c:v>51.906232749650876</c:v>
                </c:pt>
                <c:pt idx="382">
                  <c:v>51.152038818311368</c:v>
                </c:pt>
                <c:pt idx="383">
                  <c:v>50.38178420993389</c:v>
                </c:pt>
                <c:pt idx="384">
                  <c:v>49.595336220636256</c:v>
                </c:pt>
                <c:pt idx="385">
                  <c:v>48.792568336264488</c:v>
                </c:pt>
                <c:pt idx="386">
                  <c:v>47.973360751024217</c:v>
                </c:pt>
                <c:pt idx="387">
                  <c:v>47.137600893173548</c:v>
                </c:pt>
                <c:pt idx="388">
                  <c:v>46.285183955934073</c:v>
                </c:pt>
                <c:pt idx="389">
                  <c:v>45.416013431605862</c:v>
                </c:pt>
                <c:pt idx="390">
                  <c:v>44.53000164667715</c:v>
                </c:pt>
                <c:pt idx="391">
                  <c:v>43.627070295545529</c:v>
                </c:pt>
                <c:pt idx="392">
                  <c:v>42.707150970287792</c:v>
                </c:pt>
                <c:pt idx="393">
                  <c:v>41.770185683749801</c:v>
                </c:pt>
                <c:pt idx="394">
                  <c:v>40.816127383064256</c:v>
                </c:pt>
                <c:pt idx="395">
                  <c:v>39.84494045056816</c:v>
                </c:pt>
                <c:pt idx="396">
                  <c:v>38.856601188957541</c:v>
                </c:pt>
                <c:pt idx="397">
                  <c:v>37.851098287406892</c:v>
                </c:pt>
                <c:pt idx="398">
                  <c:v>36.828433265301236</c:v>
                </c:pt>
                <c:pt idx="399">
                  <c:v>35.788620890154782</c:v>
                </c:pt>
                <c:pt idx="400">
                  <c:v>34.73168956626715</c:v>
                </c:pt>
                <c:pt idx="401">
                  <c:v>33.657681690652353</c:v>
                </c:pt>
                <c:pt idx="402">
                  <c:v>32.566653972807067</c:v>
                </c:pt>
                <c:pt idx="403">
                  <c:v>31.458677714943619</c:v>
                </c:pt>
                <c:pt idx="404">
                  <c:v>30.333839049401199</c:v>
                </c:pt>
                <c:pt idx="405">
                  <c:v>29.192239130085223</c:v>
                </c:pt>
                <c:pt idx="406">
                  <c:v>28.033994274931626</c:v>
                </c:pt>
                <c:pt idx="407">
                  <c:v>26.859236056613579</c:v>
                </c:pt>
                <c:pt idx="408">
                  <c:v>25.668111338900324</c:v>
                </c:pt>
                <c:pt idx="409">
                  <c:v>24.460782256369402</c:v>
                </c:pt>
                <c:pt idx="410">
                  <c:v>23.237426135440653</c:v>
                </c:pt>
                <c:pt idx="411">
                  <c:v>21.998235355006209</c:v>
                </c:pt>
                <c:pt idx="412">
                  <c:v>20.743417145265731</c:v>
                </c:pt>
                <c:pt idx="413">
                  <c:v>19.47319332371741</c:v>
                </c:pt>
                <c:pt idx="414">
                  <c:v>18.187799967602807</c:v>
                </c:pt>
                <c:pt idx="415">
                  <c:v>16.887487022456778</c:v>
                </c:pt>
                <c:pt idx="416">
                  <c:v>15.572517846778243</c:v>
                </c:pt>
                <c:pt idx="417">
                  <c:v>14.2431686931741</c:v>
                </c:pt>
                <c:pt idx="418">
                  <c:v>12.899728126668466</c:v>
                </c:pt>
                <c:pt idx="419">
                  <c:v>11.542496381183287</c:v>
                </c:pt>
                <c:pt idx="420">
                  <c:v>10.171784655495879</c:v>
                </c:pt>
                <c:pt idx="421">
                  <c:v>8.7879143502452415</c:v>
                </c:pt>
                <c:pt idx="422">
                  <c:v>7.3912162478004113</c:v>
                </c:pt>
                <c:pt idx="423">
                  <c:v>5.9820296370047599</c:v>
                </c:pt>
                <c:pt idx="424">
                  <c:v>4.5607013850073734</c:v>
                </c:pt>
                <c:pt idx="425">
                  <c:v>3.1275849585109916</c:v>
                </c:pt>
                <c:pt idx="426">
                  <c:v>1.6830393968886068</c:v>
                </c:pt>
                <c:pt idx="427">
                  <c:v>0.22742823972114518</c:v>
                </c:pt>
                <c:pt idx="428">
                  <c:v>-1.2388815886752531</c:v>
                </c:pt>
                <c:pt idx="429">
                  <c:v>-2.7155209350968348</c:v>
                </c:pt>
                <c:pt idx="430">
                  <c:v>-4.2021196110316819</c:v>
                </c:pt>
                <c:pt idx="431">
                  <c:v>-5.6983076213448101</c:v>
                </c:pt>
                <c:pt idx="432">
                  <c:v>-7.2037164254169799</c:v>
                </c:pt>
                <c:pt idx="433">
                  <c:v>-8.7179802281327863</c:v>
                </c:pt>
                <c:pt idx="434">
                  <c:v>-10.240737298061623</c:v>
                </c:pt>
                <c:pt idx="435">
                  <c:v>-11.771631310223153</c:v>
                </c:pt>
                <c:pt idx="436">
                  <c:v>-13.310312710756971</c:v>
                </c:pt>
                <c:pt idx="437">
                  <c:v>-14.856440100795432</c:v>
                </c:pt>
                <c:pt idx="438">
                  <c:v>-16.409681636749241</c:v>
                </c:pt>
                <c:pt idx="439">
                  <c:v>-17.969716444117847</c:v>
                </c:pt>
                <c:pt idx="440">
                  <c:v>-19.536236041784601</c:v>
                </c:pt>
                <c:pt idx="441">
                  <c:v>-21.108945773597085</c:v>
                </c:pt>
                <c:pt idx="442">
                  <c:v>-22.687566243785934</c:v>
                </c:pt>
                <c:pt idx="443">
                  <c:v>-24.271834752535987</c:v>
                </c:pt>
                <c:pt idx="444">
                  <c:v>-25.86150672770863</c:v>
                </c:pt>
                <c:pt idx="445">
                  <c:v>-27.456357148345774</c:v>
                </c:pt>
                <c:pt idx="446">
                  <c:v>-29.056181955202884</c:v>
                </c:pt>
                <c:pt idx="447">
                  <c:v>-30.66079944308288</c:v>
                </c:pt>
                <c:pt idx="448">
                  <c:v>-32.270051629227879</c:v>
                </c:pt>
                <c:pt idx="449">
                  <c:v>-33.883805591456152</c:v>
                </c:pt>
                <c:pt idx="450">
                  <c:v>-35.501954769082353</c:v>
                </c:pt>
                <c:pt idx="451">
                  <c:v>-37.124420218924016</c:v>
                </c:pt>
                <c:pt idx="452">
                  <c:v>-38.751151817902304</c:v>
                </c:pt>
                <c:pt idx="453">
                  <c:v>-40.382129402838153</c:v>
                </c:pt>
                <c:pt idx="454">
                  <c:v>-42.017363837007942</c:v>
                </c:pt>
                <c:pt idx="455">
                  <c:v>-43.656897991900713</c:v>
                </c:pt>
                <c:pt idx="456">
                  <c:v>-45.300807631313759</c:v>
                </c:pt>
                <c:pt idx="457">
                  <c:v>-46.949202183489888</c:v>
                </c:pt>
                <c:pt idx="458">
                  <c:v>-48.602225385361223</c:v>
                </c:pt>
                <c:pt idx="459">
                  <c:v>-50.260055781151372</c:v>
                </c:pt>
                <c:pt idx="460">
                  <c:v>-51.922907055539007</c:v>
                </c:pt>
                <c:pt idx="461">
                  <c:v>-53.591028179337314</c:v>
                </c:pt>
                <c:pt idx="462">
                  <c:v>-55.264703343130471</c:v>
                </c:pt>
                <c:pt idx="463">
                  <c:v>-56.944251651575406</c:v>
                </c:pt>
                <c:pt idx="464">
                  <c:v>-58.630026548090605</c:v>
                </c:pt>
                <c:pt idx="465">
                  <c:v>-60.322414936465144</c:v>
                </c:pt>
                <c:pt idx="466">
                  <c:v>-62.021835962555549</c:v>
                </c:pt>
                <c:pt idx="467">
                  <c:v>-63.728739415695159</c:v>
                </c:pt>
                <c:pt idx="468">
                  <c:v>-65.443603705919344</c:v>
                </c:pt>
                <c:pt idx="469">
                  <c:v>-67.166933369578828</c:v>
                </c:pt>
                <c:pt idx="470">
                  <c:v>-68.899256052620728</c:v>
                </c:pt>
                <c:pt idx="471">
                  <c:v>-70.641118917911299</c:v>
                </c:pt>
                <c:pt idx="472">
                  <c:v>-72.393084420683252</c:v>
                </c:pt>
                <c:pt idx="473">
                  <c:v>-74.155725394846755</c:v>
                </c:pt>
                <c:pt idx="474">
                  <c:v>-75.929619392829679</c:v>
                </c:pt>
                <c:pt idx="475">
                  <c:v>-77.715342223231048</c:v>
                </c:pt>
                <c:pt idx="476">
                  <c:v>-79.513460634396239</c:v>
                </c:pt>
                <c:pt idx="477">
                  <c:v>-81.324524098561</c:v>
                </c:pt>
                <c:pt idx="478">
                  <c:v>-83.149055661081007</c:v>
                </c:pt>
                <c:pt idx="479">
                  <c:v>-84.987541833077245</c:v>
                </c:pt>
                <c:pt idx="480">
                  <c:v>-86.84042152420092</c:v>
                </c:pt>
                <c:pt idx="481">
                  <c:v>-88.70807403574436</c:v>
                </c:pt>
                <c:pt idx="482">
                  <c:v>-90.590806163458197</c:v>
                </c:pt>
                <c:pt idx="483">
                  <c:v>-92.488838494472176</c:v>
                </c:pt>
                <c:pt idx="484">
                  <c:v>-94.402291023700016</c:v>
                </c:pt>
                <c:pt idx="485">
                  <c:v>-96.331168261701237</c:v>
                </c:pt>
                <c:pt idx="486">
                  <c:v>-98.275344057355937</c:v>
                </c:pt>
                <c:pt idx="487">
                  <c:v>-100.23454641352077</c:v>
                </c:pt>
                <c:pt idx="488">
                  <c:v>-102.20834263000717</c:v>
                </c:pt>
                <c:pt idx="489">
                  <c:v>-104.19612516302961</c:v>
                </c:pt>
                <c:pt idx="490">
                  <c:v>-106.19709864021037</c:v>
                </c:pt>
                <c:pt idx="491">
                  <c:v>-108.21026851121047</c:v>
                </c:pt>
                <c:pt idx="492">
                  <c:v>-110.23443184152092</c:v>
                </c:pt>
                <c:pt idx="493">
                  <c:v>-112.26817076615782</c:v>
                </c:pt>
                <c:pt idx="494">
                  <c:v>-114.30984910642428</c:v>
                </c:pt>
                <c:pt idx="495">
                  <c:v>-116.35761261273588</c:v>
                </c:pt>
                <c:pt idx="496">
                  <c:v>-118.40939322717691</c:v>
                </c:pt>
                <c:pt idx="497">
                  <c:v>-120.46291766018157</c:v>
                </c:pt>
                <c:pt idx="498">
                  <c:v>-122.51572044804703</c:v>
                </c:pt>
                <c:pt idx="499">
                  <c:v>-124.56516150589721</c:v>
                </c:pt>
                <c:pt idx="500">
                  <c:v>-126.60844802098818</c:v>
                </c:pt>
                <c:pt idx="501">
                  <c:v>-128.64266035292283</c:v>
                </c:pt>
                <c:pt idx="502">
                  <c:v>-130.66478143137405</c:v>
                </c:pt>
                <c:pt idx="503">
                  <c:v>-132.67172898013479</c:v>
                </c:pt>
                <c:pt idx="504">
                  <c:v>-134.66038976042068</c:v>
                </c:pt>
                <c:pt idx="505">
                  <c:v>-136.62765492666699</c:v>
                </c:pt>
                <c:pt idx="506">
                  <c:v>-138.57045553243555</c:v>
                </c:pt>
                <c:pt idx="507">
                  <c:v>-140.48579721693125</c:v>
                </c:pt>
                <c:pt idx="508">
                  <c:v>-142.37079314460453</c:v>
                </c:pt>
                <c:pt idx="509">
                  <c:v>-144.22269435794584</c:v>
                </c:pt>
                <c:pt idx="510">
                  <c:v>-146.03891682991824</c:v>
                </c:pt>
                <c:pt idx="511">
                  <c:v>-147.81706465777546</c:v>
                </c:pt>
                <c:pt idx="512">
                  <c:v>-149.55494901284135</c:v>
                </c:pt>
                <c:pt idx="513">
                  <c:v>-151.25060263927631</c:v>
                </c:pt>
                <c:pt idx="514">
                  <c:v>-152.90228986762304</c:v>
                </c:pt>
                <c:pt idx="515">
                  <c:v>-154.50851226639634</c:v>
                </c:pt>
                <c:pt idx="516">
                  <c:v>-156.06801018968713</c:v>
                </c:pt>
                <c:pt idx="517">
                  <c:v>-157.57976058593138</c:v>
                </c:pt>
                <c:pt idx="518">
                  <c:v>-159.04297151045239</c:v>
                </c:pt>
                <c:pt idx="519">
                  <c:v>-160.45707383230189</c:v>
                </c:pt>
                <c:pt idx="520">
                  <c:v>-161.8217106464208</c:v>
                </c:pt>
                <c:pt idx="521">
                  <c:v>-163.13672489875091</c:v>
                </c:pt>
                <c:pt idx="522">
                  <c:v>-164.40214570902421</c:v>
                </c:pt>
                <c:pt idx="523">
                  <c:v>-165.61817383826207</c:v>
                </c:pt>
                <c:pt idx="524">
                  <c:v>-166.78516670018615</c:v>
                </c:pt>
                <c:pt idx="525">
                  <c:v>-167.90362326200682</c:v>
                </c:pt>
                <c:pt idx="526">
                  <c:v>-168.9741691241104</c:v>
                </c:pt>
                <c:pt idx="527">
                  <c:v>-169.99754201293911</c:v>
                </c:pt>
                <c:pt idx="528">
                  <c:v>-170.97457786908822</c:v>
                </c:pt>
                <c:pt idx="529">
                  <c:v>-171.90619766493262</c:v>
                </c:pt>
                <c:pt idx="530">
                  <c:v>-172.79339504380212</c:v>
                </c:pt>
                <c:pt idx="531">
                  <c:v>-173.6372248364369</c:v>
                </c:pt>
                <c:pt idx="532">
                  <c:v>-174.4387924800713</c:v>
                </c:pt>
                <c:pt idx="533">
                  <c:v>-175.19924434092709</c:v>
                </c:pt>
                <c:pt idx="534">
                  <c:v>-175.91975892159229</c:v>
                </c:pt>
                <c:pt idx="535">
                  <c:v>-176.6015389202388</c:v>
                </c:pt>
                <c:pt idx="536">
                  <c:v>-177.24580409822437</c:v>
                </c:pt>
                <c:pt idx="537">
                  <c:v>-177.8537849057339</c:v>
                </c:pt>
                <c:pt idx="538">
                  <c:v>-178.42671681109238</c:v>
                </c:pt>
                <c:pt idx="539">
                  <c:v>-178.96583527771196</c:v>
                </c:pt>
                <c:pt idx="540">
                  <c:v>-179.47237133275749</c:v>
                </c:pt>
                <c:pt idx="541">
                  <c:v>-179.94754767312796</c:v>
                </c:pt>
              </c:numCache>
            </c:numRef>
          </c:yVal>
          <c:smooth val="1"/>
          <c:extLst>
            <c:ext xmlns:c16="http://schemas.microsoft.com/office/drawing/2014/chart" uri="{C3380CC4-5D6E-409C-BE32-E72D297353CC}">
              <c16:uniqueId val="{00000001-F188-4D39-B62C-FFCB026FFDB3}"/>
            </c:ext>
          </c:extLst>
        </c:ser>
        <c:dLbls>
          <c:showLegendKey val="0"/>
          <c:showVal val="0"/>
          <c:showCatName val="0"/>
          <c:showSerName val="0"/>
          <c:showPercent val="0"/>
          <c:showBubbleSize val="0"/>
        </c:dLbls>
        <c:axId val="161005952"/>
        <c:axId val="160987776"/>
      </c:scatterChart>
      <c:valAx>
        <c:axId val="1609591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985856"/>
        <c:crosses val="autoZero"/>
        <c:crossBetween val="midCat"/>
      </c:valAx>
      <c:valAx>
        <c:axId val="1609858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160959104"/>
        <c:crosses val="autoZero"/>
        <c:crossBetween val="midCat"/>
        <c:majorUnit val="20"/>
        <c:minorUnit val="10"/>
      </c:valAx>
      <c:valAx>
        <c:axId val="160987776"/>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161005952"/>
        <c:crosses val="max"/>
        <c:crossBetween val="midCat"/>
        <c:majorUnit val="90"/>
        <c:minorUnit val="45"/>
      </c:valAx>
      <c:valAx>
        <c:axId val="161005952"/>
        <c:scaling>
          <c:logBase val="10"/>
          <c:orientation val="minMax"/>
        </c:scaling>
        <c:delete val="1"/>
        <c:axPos val="b"/>
        <c:numFmt formatCode="0.00" sourceLinked="1"/>
        <c:majorTickMark val="out"/>
        <c:minorTickMark val="none"/>
        <c:tickLblPos val="nextTo"/>
        <c:crossAx val="16098777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Eff_vs_IOUT!$AT$7:$AT$157</c:f>
              <c:numCache>
                <c:formatCode>General</c:formatCode>
                <c:ptCount val="151"/>
                <c:pt idx="0">
                  <c:v>0</c:v>
                </c:pt>
                <c:pt idx="1">
                  <c:v>50.09514345545557</c:v>
                </c:pt>
                <c:pt idx="2">
                  <c:v>63.289844559656657</c:v>
                </c:pt>
                <c:pt idx="3">
                  <c:v>69.379429411235932</c:v>
                </c:pt>
                <c:pt idx="4">
                  <c:v>72.884580776730076</c:v>
                </c:pt>
                <c:pt idx="5">
                  <c:v>75.162037853841028</c:v>
                </c:pt>
                <c:pt idx="6">
                  <c:v>76.760359190701919</c:v>
                </c:pt>
                <c:pt idx="7">
                  <c:v>77.943682981669852</c:v>
                </c:pt>
                <c:pt idx="8">
                  <c:v>78.8549056409462</c:v>
                </c:pt>
                <c:pt idx="9">
                  <c:v>79.578082357965258</c:v>
                </c:pt>
                <c:pt idx="10">
                  <c:v>80.165885624052919</c:v>
                </c:pt>
                <c:pt idx="11">
                  <c:v>80.653000280174268</c:v>
                </c:pt>
                <c:pt idx="12">
                  <c:v>81.063197481461657</c:v>
                </c:pt>
                <c:pt idx="13">
                  <c:v>81.413313835095252</c:v>
                </c:pt>
                <c:pt idx="14">
                  <c:v>81.715607967677286</c:v>
                </c:pt>
                <c:pt idx="15">
                  <c:v>81.979217292778529</c:v>
                </c:pt>
                <c:pt idx="16">
                  <c:v>82.211091816773603</c:v>
                </c:pt>
                <c:pt idx="17">
                  <c:v>82.416611638945142</c:v>
                </c:pt>
                <c:pt idx="18">
                  <c:v>82.600006461018651</c:v>
                </c:pt>
                <c:pt idx="19">
                  <c:v>82.764647409285644</c:v>
                </c:pt>
                <c:pt idx="20">
                  <c:v>82.913254320647837</c:v>
                </c:pt>
                <c:pt idx="21">
                  <c:v>83.048045745770139</c:v>
                </c:pt>
                <c:pt idx="22">
                  <c:v>83.170849323672982</c:v>
                </c:pt>
                <c:pt idx="23">
                  <c:v>83.283184226212583</c:v>
                </c:pt>
                <c:pt idx="24">
                  <c:v>83.386323583957108</c:v>
                </c:pt>
                <c:pt idx="25">
                  <c:v>83.481342343485011</c:v>
                </c:pt>
                <c:pt idx="26">
                  <c:v>83.569154373943718</c:v>
                </c:pt>
                <c:pt idx="27">
                  <c:v>83.650541538577258</c:v>
                </c:pt>
                <c:pt idx="28">
                  <c:v>83.726176690260957</c:v>
                </c:pt>
                <c:pt idx="29">
                  <c:v>83.79664202260372</c:v>
                </c:pt>
                <c:pt idx="30">
                  <c:v>83.862443835274519</c:v>
                </c:pt>
                <c:pt idx="31">
                  <c:v>83.924024505134341</c:v>
                </c:pt>
                <c:pt idx="32">
                  <c:v>83.981772261159946</c:v>
                </c:pt>
                <c:pt idx="33">
                  <c:v>84.036029219235218</c:v>
                </c:pt>
                <c:pt idx="34">
                  <c:v>84.08709802776842</c:v>
                </c:pt>
                <c:pt idx="35">
                  <c:v>84.135247396469381</c:v>
                </c:pt>
                <c:pt idx="36">
                  <c:v>84.180716721270755</c:v>
                </c:pt>
                <c:pt idx="37">
                  <c:v>84.223719973192885</c:v>
                </c:pt>
                <c:pt idx="38">
                  <c:v>84.264448984271638</c:v>
                </c:pt>
                <c:pt idx="39">
                  <c:v>84.303076236848824</c:v>
                </c:pt>
                <c:pt idx="40">
                  <c:v>84.3397572416347</c:v>
                </c:pt>
                <c:pt idx="41">
                  <c:v>84.374632573568519</c:v>
                </c:pt>
                <c:pt idx="42">
                  <c:v>84.407829621573597</c:v>
                </c:pt>
                <c:pt idx="43">
                  <c:v>84.43946409803435</c:v>
                </c:pt>
                <c:pt idx="44">
                  <c:v>84.469641345622748</c:v>
                </c:pt>
                <c:pt idx="45">
                  <c:v>84.498457472515</c:v>
                </c:pt>
                <c:pt idx="46">
                  <c:v>84.52600034172228</c:v>
                </c:pt>
                <c:pt idx="47">
                  <c:v>84.552350435945385</c:v>
                </c:pt>
                <c:pt idx="48">
                  <c:v>84.530945186897029</c:v>
                </c:pt>
                <c:pt idx="49">
                  <c:v>84.554337077692807</c:v>
                </c:pt>
                <c:pt idx="50">
                  <c:v>84.576702014184249</c:v>
                </c:pt>
                <c:pt idx="51">
                  <c:v>84.598099557103069</c:v>
                </c:pt>
                <c:pt idx="52">
                  <c:v>84.618584749418019</c:v>
                </c:pt>
                <c:pt idx="53">
                  <c:v>84.63820853671119</c:v>
                </c:pt>
                <c:pt idx="54">
                  <c:v>84.657018141473145</c:v>
                </c:pt>
                <c:pt idx="55">
                  <c:v>84.675057397103927</c:v>
                </c:pt>
                <c:pt idx="56">
                  <c:v>84.69236704659177</c:v>
                </c:pt>
                <c:pt idx="57">
                  <c:v>84.70898501015202</c:v>
                </c:pt>
                <c:pt idx="58">
                  <c:v>84.724946625525561</c:v>
                </c:pt>
                <c:pt idx="59">
                  <c:v>84.740284864140762</c:v>
                </c:pt>
                <c:pt idx="60">
                  <c:v>84.755030525920745</c:v>
                </c:pt>
                <c:pt idx="61">
                  <c:v>84.769212415157185</c:v>
                </c:pt>
                <c:pt idx="62">
                  <c:v>84.782857499563519</c:v>
                </c:pt>
                <c:pt idx="63">
                  <c:v>84.7959910543549</c:v>
                </c:pt>
                <c:pt idx="64">
                  <c:v>84.808636792973758</c:v>
                </c:pt>
                <c:pt idx="65">
                  <c:v>84.820816985883468</c:v>
                </c:pt>
                <c:pt idx="66">
                  <c:v>84.832552568681436</c:v>
                </c:pt>
                <c:pt idx="67">
                  <c:v>84.843863240635315</c:v>
                </c:pt>
                <c:pt idx="68">
                  <c:v>84.854767554617922</c:v>
                </c:pt>
                <c:pt idx="69">
                  <c:v>84.865282999304171</c:v>
                </c:pt>
                <c:pt idx="70">
                  <c:v>84.875426074395492</c:v>
                </c:pt>
                <c:pt idx="71">
                  <c:v>84.885212359552625</c:v>
                </c:pt>
                <c:pt idx="72">
                  <c:v>84.894656577641911</c:v>
                </c:pt>
                <c:pt idx="73">
                  <c:v>84.903772652835087</c:v>
                </c:pt>
                <c:pt idx="74">
                  <c:v>84.912573764044581</c:v>
                </c:pt>
                <c:pt idx="75">
                  <c:v>84.92107239412546</c:v>
                </c:pt>
                <c:pt idx="76">
                  <c:v>84.929280375230249</c:v>
                </c:pt>
                <c:pt idx="77">
                  <c:v>84.937208930662976</c:v>
                </c:pt>
                <c:pt idx="78">
                  <c:v>84.94486871354367</c:v>
                </c:pt>
                <c:pt idx="79">
                  <c:v>84.952269842563439</c:v>
                </c:pt>
                <c:pt idx="80">
                  <c:v>84.959421935082347</c:v>
                </c:pt>
                <c:pt idx="81">
                  <c:v>84.966334137797588</c:v>
                </c:pt>
                <c:pt idx="82">
                  <c:v>84.973015155187525</c:v>
                </c:pt>
                <c:pt idx="83">
                  <c:v>84.979473275917684</c:v>
                </c:pt>
                <c:pt idx="84">
                  <c:v>84.985716397376876</c:v>
                </c:pt>
                <c:pt idx="85">
                  <c:v>84.991752048496267</c:v>
                </c:pt>
                <c:pt idx="86">
                  <c:v>84.997587410989823</c:v>
                </c:pt>
                <c:pt idx="87">
                  <c:v>85.003229339142251</c:v>
                </c:pt>
                <c:pt idx="88">
                  <c:v>85.008684378258863</c:v>
                </c:pt>
                <c:pt idx="89">
                  <c:v>85.013958781881897</c:v>
                </c:pt>
                <c:pt idx="90">
                  <c:v>85.019058527868253</c:v>
                </c:pt>
                <c:pt idx="91">
                  <c:v>85.023989333415756</c:v>
                </c:pt>
                <c:pt idx="92">
                  <c:v>85.028756669117172</c:v>
                </c:pt>
                <c:pt idx="93">
                  <c:v>85.033365772114635</c:v>
                </c:pt>
                <c:pt idx="94">
                  <c:v>85.037821658420881</c:v>
                </c:pt>
                <c:pt idx="95">
                  <c:v>85.042129134468354</c:v>
                </c:pt>
                <c:pt idx="96">
                  <c:v>85.046292807941953</c:v>
                </c:pt>
                <c:pt idx="97">
                  <c:v>85.050317097946717</c:v>
                </c:pt>
                <c:pt idx="98">
                  <c:v>85.054206244557619</c:v>
                </c:pt>
                <c:pt idx="99">
                  <c:v>85.057964317794927</c:v>
                </c:pt>
                <c:pt idx="100">
                  <c:v>85.061595226064924</c:v>
                </c:pt>
                <c:pt idx="101">
                  <c:v>85.065102724102758</c:v>
                </c:pt>
                <c:pt idx="102">
                  <c:v>85.068490420451553</c:v>
                </c:pt>
                <c:pt idx="103">
                  <c:v>85.071761784508809</c:v>
                </c:pt>
                <c:pt idx="104">
                  <c:v>85.07492015316906</c:v>
                </c:pt>
                <c:pt idx="105">
                  <c:v>85.077968737089975</c:v>
                </c:pt>
                <c:pt idx="106">
                  <c:v>85.080910626605572</c:v>
                </c:pt>
                <c:pt idx="107">
                  <c:v>85.083748797310804</c:v>
                </c:pt>
                <c:pt idx="108">
                  <c:v>85.086486115337408</c:v>
                </c:pt>
                <c:pt idx="109">
                  <c:v>85.08912534234176</c:v>
                </c:pt>
                <c:pt idx="110">
                  <c:v>85.09166914022201</c:v>
                </c:pt>
                <c:pt idx="111">
                  <c:v>85.094120075582353</c:v>
                </c:pt>
                <c:pt idx="112">
                  <c:v>85.096480623959337</c:v>
                </c:pt>
                <c:pt idx="113">
                  <c:v>85.098753173825529</c:v>
                </c:pt>
                <c:pt idx="114">
                  <c:v>85.100940030383512</c:v>
                </c:pt>
                <c:pt idx="115">
                  <c:v>85.103043419163427</c:v>
                </c:pt>
                <c:pt idx="116">
                  <c:v>85.105065489435489</c:v>
                </c:pt>
                <c:pt idx="117">
                  <c:v>85.107008317448617</c:v>
                </c:pt>
                <c:pt idx="118">
                  <c:v>85.108873909505434</c:v>
                </c:pt>
                <c:pt idx="119">
                  <c:v>85.110664204883093</c:v>
                </c:pt>
                <c:pt idx="120">
                  <c:v>85.112381078609076</c:v>
                </c:pt>
                <c:pt idx="121">
                  <c:v>85.114026344100097</c:v>
                </c:pt>
                <c:pt idx="122">
                  <c:v>85.115601755671989</c:v>
                </c:pt>
                <c:pt idx="123">
                  <c:v>85.117109010927948</c:v>
                </c:pt>
                <c:pt idx="124">
                  <c:v>85.118549753031843</c:v>
                </c:pt>
                <c:pt idx="125">
                  <c:v>85.119925572873086</c:v>
                </c:pt>
                <c:pt idx="126">
                  <c:v>85.121238011128952</c:v>
                </c:pt>
                <c:pt idx="127">
                  <c:v>85.122488560230124</c:v>
                </c:pt>
                <c:pt idx="128">
                  <c:v>85.123678666234483</c:v>
                </c:pt>
                <c:pt idx="129">
                  <c:v>85.124809730614402</c:v>
                </c:pt>
                <c:pt idx="130">
                  <c:v>85.125883111961926</c:v>
                </c:pt>
                <c:pt idx="131">
                  <c:v>85.126900127616238</c:v>
                </c:pt>
                <c:pt idx="132">
                  <c:v>85.127862055217705</c:v>
                </c:pt>
                <c:pt idx="133">
                  <c:v>85.12877013419201</c:v>
                </c:pt>
                <c:pt idx="134">
                  <c:v>85.129625567168432</c:v>
                </c:pt>
                <c:pt idx="135">
                  <c:v>85.130429521335159</c:v>
                </c:pt>
                <c:pt idx="136">
                  <c:v>85.131183129735362</c:v>
                </c:pt>
                <c:pt idx="137">
                  <c:v>85.131887492506706</c:v>
                </c:pt>
                <c:pt idx="138">
                  <c:v>85.132543678067208</c:v>
                </c:pt>
                <c:pt idx="139">
                  <c:v>85.13315272425028</c:v>
                </c:pt>
                <c:pt idx="140">
                  <c:v>85.133715639391355</c:v>
                </c:pt>
                <c:pt idx="141">
                  <c:v>85.134233403368441</c:v>
                </c:pt>
                <c:pt idx="142">
                  <c:v>85.134706968598977</c:v>
                </c:pt>
                <c:pt idx="143">
                  <c:v>85.135137260995165</c:v>
                </c:pt>
                <c:pt idx="144">
                  <c:v>85.13552518087954</c:v>
                </c:pt>
                <c:pt idx="145">
                  <c:v>85.135871603862938</c:v>
                </c:pt>
                <c:pt idx="146">
                  <c:v>85.136177381686593</c:v>
                </c:pt>
                <c:pt idx="147">
                  <c:v>85.136443343029939</c:v>
                </c:pt>
                <c:pt idx="148">
                  <c:v>85.136670294285921</c:v>
                </c:pt>
                <c:pt idx="149">
                  <c:v>85.136859020305138</c:v>
                </c:pt>
                <c:pt idx="150">
                  <c:v>85.137010285110478</c:v>
                </c:pt>
              </c:numCache>
            </c:numRef>
          </c:yVal>
          <c:smooth val="0"/>
          <c:extLst>
            <c:ext xmlns:c16="http://schemas.microsoft.com/office/drawing/2014/chart" uri="{C3380CC4-5D6E-409C-BE32-E72D297353CC}">
              <c16:uniqueId val="{00000000-D428-476F-9D9B-414A5D21B4D3}"/>
            </c:ext>
          </c:extLst>
        </c:ser>
        <c:dLbls>
          <c:showLegendKey val="0"/>
          <c:showVal val="0"/>
          <c:showCatName val="0"/>
          <c:showSerName val="0"/>
          <c:showPercent val="0"/>
          <c:showBubbleSize val="0"/>
        </c:dLbls>
        <c:axId val="161084544"/>
        <c:axId val="16108608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0</c:v>
                </c:pt>
                <c:pt idx="1">
                  <c:v>0.32659322512445021</c:v>
                </c:pt>
                <c:pt idx="2">
                  <c:v>0.65318645024890043</c:v>
                </c:pt>
                <c:pt idx="3">
                  <c:v>0.97977967537335064</c:v>
                </c:pt>
                <c:pt idx="4">
                  <c:v>1.3063729004978009</c:v>
                </c:pt>
                <c:pt idx="5">
                  <c:v>1.632966125622251</c:v>
                </c:pt>
                <c:pt idx="6">
                  <c:v>1.9595593507467013</c:v>
                </c:pt>
                <c:pt idx="7">
                  <c:v>2.2861525758711516</c:v>
                </c:pt>
                <c:pt idx="8">
                  <c:v>2.6127458009956017</c:v>
                </c:pt>
                <c:pt idx="9">
                  <c:v>2.9393390261200509</c:v>
                </c:pt>
                <c:pt idx="10">
                  <c:v>3.2659322512445019</c:v>
                </c:pt>
                <c:pt idx="11">
                  <c:v>3.5925254763689516</c:v>
                </c:pt>
                <c:pt idx="12">
                  <c:v>3.9191187014934026</c:v>
                </c:pt>
                <c:pt idx="13">
                  <c:v>4.2457119266178518</c:v>
                </c:pt>
                <c:pt idx="14">
                  <c:v>4.5723051517423032</c:v>
                </c:pt>
                <c:pt idx="15">
                  <c:v>4.898898376866752</c:v>
                </c:pt>
                <c:pt idx="16">
                  <c:v>5.2254916019912034</c:v>
                </c:pt>
                <c:pt idx="17">
                  <c:v>5.552084827115654</c:v>
                </c:pt>
                <c:pt idx="18">
                  <c:v>5.8786780522401019</c:v>
                </c:pt>
                <c:pt idx="19">
                  <c:v>6.2052712773645551</c:v>
                </c:pt>
                <c:pt idx="20">
                  <c:v>6.5318645024890039</c:v>
                </c:pt>
                <c:pt idx="21">
                  <c:v>6.8584577276134544</c:v>
                </c:pt>
                <c:pt idx="22">
                  <c:v>7.1850509527379032</c:v>
                </c:pt>
                <c:pt idx="23">
                  <c:v>7.5116441778623537</c:v>
                </c:pt>
                <c:pt idx="24">
                  <c:v>7.8382374029868052</c:v>
                </c:pt>
                <c:pt idx="25">
                  <c:v>8.1648306281112539</c:v>
                </c:pt>
                <c:pt idx="26">
                  <c:v>8.4914238532357036</c:v>
                </c:pt>
                <c:pt idx="27">
                  <c:v>8.8180170783601568</c:v>
                </c:pt>
                <c:pt idx="28">
                  <c:v>9.1446103034846065</c:v>
                </c:pt>
                <c:pt idx="29">
                  <c:v>9.4712035286090543</c:v>
                </c:pt>
                <c:pt idx="30">
                  <c:v>9.797796753733504</c:v>
                </c:pt>
                <c:pt idx="31">
                  <c:v>10.124389978857957</c:v>
                </c:pt>
                <c:pt idx="32">
                  <c:v>10.450983203982407</c:v>
                </c:pt>
                <c:pt idx="33">
                  <c:v>10.777576429106857</c:v>
                </c:pt>
                <c:pt idx="34">
                  <c:v>11.104169654231308</c:v>
                </c:pt>
                <c:pt idx="35">
                  <c:v>11.430762879355758</c:v>
                </c:pt>
                <c:pt idx="36">
                  <c:v>11.757356104480204</c:v>
                </c:pt>
                <c:pt idx="37">
                  <c:v>12.083949329604655</c:v>
                </c:pt>
                <c:pt idx="38">
                  <c:v>12.41054255472911</c:v>
                </c:pt>
                <c:pt idx="39">
                  <c:v>12.737135779853558</c:v>
                </c:pt>
                <c:pt idx="40">
                  <c:v>13.063729004978008</c:v>
                </c:pt>
                <c:pt idx="41">
                  <c:v>13.390322230102459</c:v>
                </c:pt>
                <c:pt idx="42">
                  <c:v>13.716915455226909</c:v>
                </c:pt>
                <c:pt idx="43">
                  <c:v>14.043508680351357</c:v>
                </c:pt>
                <c:pt idx="44">
                  <c:v>14.370101905475806</c:v>
                </c:pt>
                <c:pt idx="45">
                  <c:v>14.69669513060026</c:v>
                </c:pt>
                <c:pt idx="46">
                  <c:v>15.023288355724707</c:v>
                </c:pt>
                <c:pt idx="47">
                  <c:v>15.349881580849161</c:v>
                </c:pt>
                <c:pt idx="48">
                  <c:v>15.67647480597361</c:v>
                </c:pt>
                <c:pt idx="49">
                  <c:v>16.00306803109806</c:v>
                </c:pt>
                <c:pt idx="50">
                  <c:v>16.329661256222508</c:v>
                </c:pt>
                <c:pt idx="51">
                  <c:v>16.656254481346963</c:v>
                </c:pt>
                <c:pt idx="52">
                  <c:v>16.982847706471407</c:v>
                </c:pt>
                <c:pt idx="53">
                  <c:v>17.309440931595859</c:v>
                </c:pt>
                <c:pt idx="54">
                  <c:v>17.636034156720314</c:v>
                </c:pt>
                <c:pt idx="55">
                  <c:v>17.962627381844761</c:v>
                </c:pt>
                <c:pt idx="56">
                  <c:v>18.289220606969213</c:v>
                </c:pt>
                <c:pt idx="57">
                  <c:v>18.615813832093664</c:v>
                </c:pt>
                <c:pt idx="58">
                  <c:v>18.942407057218109</c:v>
                </c:pt>
                <c:pt idx="59">
                  <c:v>19.26900028234256</c:v>
                </c:pt>
                <c:pt idx="60">
                  <c:v>19.595593507467008</c:v>
                </c:pt>
                <c:pt idx="61">
                  <c:v>19.922186732591459</c:v>
                </c:pt>
                <c:pt idx="62">
                  <c:v>20.248779957715914</c:v>
                </c:pt>
                <c:pt idx="63">
                  <c:v>20.575373182840359</c:v>
                </c:pt>
                <c:pt idx="64">
                  <c:v>20.901966407964814</c:v>
                </c:pt>
                <c:pt idx="65">
                  <c:v>21.228559633089262</c:v>
                </c:pt>
                <c:pt idx="66">
                  <c:v>21.555152858213713</c:v>
                </c:pt>
                <c:pt idx="67">
                  <c:v>21.881746083338161</c:v>
                </c:pt>
                <c:pt idx="68">
                  <c:v>22.208339308462616</c:v>
                </c:pt>
                <c:pt idx="69">
                  <c:v>22.534932533587067</c:v>
                </c:pt>
                <c:pt idx="70">
                  <c:v>22.861525758711515</c:v>
                </c:pt>
                <c:pt idx="71">
                  <c:v>23.188118983835963</c:v>
                </c:pt>
                <c:pt idx="72">
                  <c:v>23.514712208960407</c:v>
                </c:pt>
                <c:pt idx="73">
                  <c:v>23.841305434084866</c:v>
                </c:pt>
                <c:pt idx="74">
                  <c:v>24.16789865920931</c:v>
                </c:pt>
                <c:pt idx="75">
                  <c:v>24.494491884333762</c:v>
                </c:pt>
                <c:pt idx="76">
                  <c:v>24.82108510945822</c:v>
                </c:pt>
                <c:pt idx="77">
                  <c:v>25.147678334582665</c:v>
                </c:pt>
                <c:pt idx="78">
                  <c:v>25.474271559707116</c:v>
                </c:pt>
                <c:pt idx="79">
                  <c:v>25.800864784831564</c:v>
                </c:pt>
                <c:pt idx="80">
                  <c:v>26.127458009956015</c:v>
                </c:pt>
                <c:pt idx="81">
                  <c:v>26.45405123508046</c:v>
                </c:pt>
                <c:pt idx="82">
                  <c:v>26.780644460204918</c:v>
                </c:pt>
                <c:pt idx="83">
                  <c:v>27.107237685329366</c:v>
                </c:pt>
                <c:pt idx="84">
                  <c:v>27.433830910453818</c:v>
                </c:pt>
                <c:pt idx="85">
                  <c:v>27.760424135578269</c:v>
                </c:pt>
                <c:pt idx="86">
                  <c:v>28.087017360702713</c:v>
                </c:pt>
                <c:pt idx="87">
                  <c:v>28.413610585827168</c:v>
                </c:pt>
                <c:pt idx="88">
                  <c:v>28.740203810951613</c:v>
                </c:pt>
                <c:pt idx="89">
                  <c:v>29.066797036076064</c:v>
                </c:pt>
                <c:pt idx="90">
                  <c:v>29.393390261200519</c:v>
                </c:pt>
                <c:pt idx="91">
                  <c:v>29.719983486324967</c:v>
                </c:pt>
                <c:pt idx="92">
                  <c:v>30.046576711449415</c:v>
                </c:pt>
                <c:pt idx="93">
                  <c:v>30.373169936573873</c:v>
                </c:pt>
                <c:pt idx="94">
                  <c:v>30.699763161698321</c:v>
                </c:pt>
                <c:pt idx="95">
                  <c:v>31.026356386822769</c:v>
                </c:pt>
                <c:pt idx="96">
                  <c:v>31.352949611947221</c:v>
                </c:pt>
                <c:pt idx="97">
                  <c:v>31.679542837071669</c:v>
                </c:pt>
                <c:pt idx="98">
                  <c:v>32.00613606219612</c:v>
                </c:pt>
                <c:pt idx="99">
                  <c:v>32.332729287320568</c:v>
                </c:pt>
                <c:pt idx="100">
                  <c:v>32.659322512445016</c:v>
                </c:pt>
                <c:pt idx="101">
                  <c:v>32.985915737569464</c:v>
                </c:pt>
                <c:pt idx="102">
                  <c:v>33.312508962693926</c:v>
                </c:pt>
                <c:pt idx="103">
                  <c:v>33.639102187818374</c:v>
                </c:pt>
                <c:pt idx="104">
                  <c:v>33.965695412942814</c:v>
                </c:pt>
                <c:pt idx="105">
                  <c:v>34.292288638067276</c:v>
                </c:pt>
                <c:pt idx="106">
                  <c:v>34.618881863191717</c:v>
                </c:pt>
                <c:pt idx="107">
                  <c:v>34.945475088316172</c:v>
                </c:pt>
                <c:pt idx="108">
                  <c:v>35.272068313440627</c:v>
                </c:pt>
                <c:pt idx="109">
                  <c:v>35.598661538565075</c:v>
                </c:pt>
                <c:pt idx="110">
                  <c:v>35.925254763689523</c:v>
                </c:pt>
                <c:pt idx="111">
                  <c:v>36.251847988813971</c:v>
                </c:pt>
                <c:pt idx="112">
                  <c:v>36.578441213938426</c:v>
                </c:pt>
                <c:pt idx="113">
                  <c:v>36.905034439062874</c:v>
                </c:pt>
                <c:pt idx="114">
                  <c:v>37.231627664187329</c:v>
                </c:pt>
                <c:pt idx="115">
                  <c:v>37.558220889311777</c:v>
                </c:pt>
                <c:pt idx="116">
                  <c:v>37.884814114436217</c:v>
                </c:pt>
                <c:pt idx="117">
                  <c:v>38.211407339560672</c:v>
                </c:pt>
                <c:pt idx="118">
                  <c:v>38.53800056468512</c:v>
                </c:pt>
                <c:pt idx="119">
                  <c:v>38.864593789809568</c:v>
                </c:pt>
                <c:pt idx="120">
                  <c:v>39.191187014934016</c:v>
                </c:pt>
                <c:pt idx="121">
                  <c:v>39.517780240058478</c:v>
                </c:pt>
                <c:pt idx="122">
                  <c:v>39.844373465182919</c:v>
                </c:pt>
                <c:pt idx="123">
                  <c:v>40.17096669030736</c:v>
                </c:pt>
                <c:pt idx="124">
                  <c:v>40.497559915431829</c:v>
                </c:pt>
                <c:pt idx="125">
                  <c:v>40.824153140556277</c:v>
                </c:pt>
                <c:pt idx="126">
                  <c:v>41.150746365680718</c:v>
                </c:pt>
                <c:pt idx="127">
                  <c:v>41.477339590805173</c:v>
                </c:pt>
                <c:pt idx="128">
                  <c:v>41.803932815929628</c:v>
                </c:pt>
                <c:pt idx="129">
                  <c:v>42.130526041054068</c:v>
                </c:pt>
                <c:pt idx="130">
                  <c:v>42.457119266178523</c:v>
                </c:pt>
                <c:pt idx="131">
                  <c:v>42.783712491302978</c:v>
                </c:pt>
                <c:pt idx="132">
                  <c:v>43.110305716427426</c:v>
                </c:pt>
                <c:pt idx="133">
                  <c:v>43.436898941551874</c:v>
                </c:pt>
                <c:pt idx="134">
                  <c:v>43.763492166676322</c:v>
                </c:pt>
                <c:pt idx="135">
                  <c:v>44.090085391800777</c:v>
                </c:pt>
                <c:pt idx="136">
                  <c:v>44.416678616925232</c:v>
                </c:pt>
                <c:pt idx="137">
                  <c:v>44.74327184204968</c:v>
                </c:pt>
                <c:pt idx="138">
                  <c:v>45.069865067174135</c:v>
                </c:pt>
                <c:pt idx="139">
                  <c:v>45.396458292298583</c:v>
                </c:pt>
                <c:pt idx="140">
                  <c:v>45.723051517423031</c:v>
                </c:pt>
                <c:pt idx="141">
                  <c:v>46.049644742547471</c:v>
                </c:pt>
                <c:pt idx="142">
                  <c:v>46.376237967671926</c:v>
                </c:pt>
                <c:pt idx="143">
                  <c:v>46.702831192796381</c:v>
                </c:pt>
                <c:pt idx="144">
                  <c:v>47.029424417920815</c:v>
                </c:pt>
                <c:pt idx="145">
                  <c:v>47.356017643045284</c:v>
                </c:pt>
                <c:pt idx="146">
                  <c:v>47.682610868169732</c:v>
                </c:pt>
                <c:pt idx="147">
                  <c:v>48.009204093294166</c:v>
                </c:pt>
                <c:pt idx="148">
                  <c:v>48.335797318418621</c:v>
                </c:pt>
                <c:pt idx="149">
                  <c:v>48.662390543543083</c:v>
                </c:pt>
                <c:pt idx="150">
                  <c:v>48.988983768667524</c:v>
                </c:pt>
              </c:numCache>
            </c:numRef>
          </c:yVal>
          <c:smooth val="1"/>
          <c:extLst>
            <c:ext xmlns:c16="http://schemas.microsoft.com/office/drawing/2014/chart" uri="{C3380CC4-5D6E-409C-BE32-E72D297353CC}">
              <c16:uniqueId val="{00000001-D428-476F-9D9B-414A5D21B4D3}"/>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Eff_vs_IOUT!$AN$7:$AN$157</c:f>
              <c:numCache>
                <c:formatCode>General</c:formatCode>
                <c:ptCount val="151"/>
                <c:pt idx="0">
                  <c:v>1.1897599999999999</c:v>
                </c:pt>
                <c:pt idx="1">
                  <c:v>1.2129599999999998</c:v>
                </c:pt>
                <c:pt idx="2">
                  <c:v>1.2361599999999999</c:v>
                </c:pt>
                <c:pt idx="3">
                  <c:v>1.25936</c:v>
                </c:pt>
                <c:pt idx="4">
                  <c:v>1.2825599999999999</c:v>
                </c:pt>
                <c:pt idx="5">
                  <c:v>1.3057599999999998</c:v>
                </c:pt>
                <c:pt idx="6">
                  <c:v>1.3289599999999999</c:v>
                </c:pt>
                <c:pt idx="7">
                  <c:v>1.35216</c:v>
                </c:pt>
                <c:pt idx="8">
                  <c:v>1.3753599999999999</c:v>
                </c:pt>
                <c:pt idx="9">
                  <c:v>1.3985599999999998</c:v>
                </c:pt>
                <c:pt idx="10">
                  <c:v>1.4217599999999999</c:v>
                </c:pt>
                <c:pt idx="11">
                  <c:v>1.44496</c:v>
                </c:pt>
                <c:pt idx="12">
                  <c:v>1.4681599999999999</c:v>
                </c:pt>
                <c:pt idx="13">
                  <c:v>1.4913599999999998</c:v>
                </c:pt>
                <c:pt idx="14">
                  <c:v>1.5145599999999999</c:v>
                </c:pt>
                <c:pt idx="15">
                  <c:v>1.53776</c:v>
                </c:pt>
                <c:pt idx="16">
                  <c:v>1.5609599999999999</c:v>
                </c:pt>
                <c:pt idx="17">
                  <c:v>1.58416</c:v>
                </c:pt>
                <c:pt idx="18">
                  <c:v>1.6073599999999999</c:v>
                </c:pt>
                <c:pt idx="19">
                  <c:v>1.63056</c:v>
                </c:pt>
                <c:pt idx="20">
                  <c:v>1.6537599999999999</c:v>
                </c:pt>
                <c:pt idx="21">
                  <c:v>1.6769599999999998</c:v>
                </c:pt>
                <c:pt idx="22">
                  <c:v>1.7001599999999999</c:v>
                </c:pt>
                <c:pt idx="23">
                  <c:v>1.72336</c:v>
                </c:pt>
                <c:pt idx="24">
                  <c:v>1.7465599999999999</c:v>
                </c:pt>
                <c:pt idx="25">
                  <c:v>1.7697599999999998</c:v>
                </c:pt>
                <c:pt idx="26">
                  <c:v>1.7929599999999999</c:v>
                </c:pt>
                <c:pt idx="27">
                  <c:v>1.81616</c:v>
                </c:pt>
                <c:pt idx="28">
                  <c:v>1.8393600000000001</c:v>
                </c:pt>
                <c:pt idx="29">
                  <c:v>1.8625599999999998</c:v>
                </c:pt>
                <c:pt idx="30">
                  <c:v>1.8857599999999999</c:v>
                </c:pt>
                <c:pt idx="31">
                  <c:v>1.90896</c:v>
                </c:pt>
                <c:pt idx="32">
                  <c:v>1.9321599999999999</c:v>
                </c:pt>
                <c:pt idx="33">
                  <c:v>1.9553599999999998</c:v>
                </c:pt>
                <c:pt idx="34">
                  <c:v>1.9785599999999999</c:v>
                </c:pt>
                <c:pt idx="35">
                  <c:v>2.00176</c:v>
                </c:pt>
                <c:pt idx="36">
                  <c:v>2.0249600000000001</c:v>
                </c:pt>
                <c:pt idx="37">
                  <c:v>2.0481599999999998</c:v>
                </c:pt>
                <c:pt idx="38">
                  <c:v>2.0713599999999999</c:v>
                </c:pt>
                <c:pt idx="39">
                  <c:v>2.09456</c:v>
                </c:pt>
                <c:pt idx="40">
                  <c:v>2.1177599999999996</c:v>
                </c:pt>
                <c:pt idx="41">
                  <c:v>2.1409599999999998</c:v>
                </c:pt>
                <c:pt idx="42">
                  <c:v>2.1641599999999999</c:v>
                </c:pt>
                <c:pt idx="43">
                  <c:v>2.18736</c:v>
                </c:pt>
                <c:pt idx="44">
                  <c:v>2.2105600000000001</c:v>
                </c:pt>
                <c:pt idx="45">
                  <c:v>2.2337600000000002</c:v>
                </c:pt>
                <c:pt idx="46">
                  <c:v>2.2569599999999999</c:v>
                </c:pt>
                <c:pt idx="47">
                  <c:v>2.28016</c:v>
                </c:pt>
                <c:pt idx="48">
                  <c:v>2.3033599999999996</c:v>
                </c:pt>
                <c:pt idx="49">
                  <c:v>2.3265599999999997</c:v>
                </c:pt>
                <c:pt idx="50">
                  <c:v>2.3497599999999998</c:v>
                </c:pt>
                <c:pt idx="51">
                  <c:v>2.37296</c:v>
                </c:pt>
                <c:pt idx="52">
                  <c:v>2.3961600000000001</c:v>
                </c:pt>
                <c:pt idx="53">
                  <c:v>2.4193600000000002</c:v>
                </c:pt>
                <c:pt idx="54">
                  <c:v>2.4425599999999998</c:v>
                </c:pt>
                <c:pt idx="55">
                  <c:v>2.46576</c:v>
                </c:pt>
                <c:pt idx="56">
                  <c:v>2.4889600000000001</c:v>
                </c:pt>
                <c:pt idx="57">
                  <c:v>2.5121599999999997</c:v>
                </c:pt>
                <c:pt idx="58">
                  <c:v>2.5353599999999998</c:v>
                </c:pt>
                <c:pt idx="59">
                  <c:v>2.5585599999999999</c:v>
                </c:pt>
                <c:pt idx="60">
                  <c:v>2.5817600000000001</c:v>
                </c:pt>
                <c:pt idx="61">
                  <c:v>2.6049599999999997</c:v>
                </c:pt>
                <c:pt idx="62">
                  <c:v>2.6281599999999998</c:v>
                </c:pt>
                <c:pt idx="63">
                  <c:v>2.6513599999999999</c:v>
                </c:pt>
                <c:pt idx="64">
                  <c:v>2.6745599999999996</c:v>
                </c:pt>
                <c:pt idx="65">
                  <c:v>2.6977599999999997</c:v>
                </c:pt>
                <c:pt idx="66">
                  <c:v>2.7209599999999998</c:v>
                </c:pt>
                <c:pt idx="67">
                  <c:v>2.7441599999999999</c:v>
                </c:pt>
                <c:pt idx="68">
                  <c:v>2.76736</c:v>
                </c:pt>
                <c:pt idx="69">
                  <c:v>2.7905600000000002</c:v>
                </c:pt>
                <c:pt idx="70">
                  <c:v>2.8137600000000003</c:v>
                </c:pt>
                <c:pt idx="71">
                  <c:v>2.8369599999999995</c:v>
                </c:pt>
                <c:pt idx="72">
                  <c:v>2.8601599999999996</c:v>
                </c:pt>
                <c:pt idx="73">
                  <c:v>2.8833599999999997</c:v>
                </c:pt>
                <c:pt idx="74">
                  <c:v>2.9065599999999998</c:v>
                </c:pt>
                <c:pt idx="75">
                  <c:v>2.9297599999999999</c:v>
                </c:pt>
                <c:pt idx="76">
                  <c:v>2.95296</c:v>
                </c:pt>
                <c:pt idx="77">
                  <c:v>2.9761600000000001</c:v>
                </c:pt>
                <c:pt idx="78">
                  <c:v>2.9993599999999998</c:v>
                </c:pt>
                <c:pt idx="79">
                  <c:v>3.0225599999999999</c:v>
                </c:pt>
                <c:pt idx="80">
                  <c:v>3.0457599999999996</c:v>
                </c:pt>
                <c:pt idx="81">
                  <c:v>3.0689599999999997</c:v>
                </c:pt>
                <c:pt idx="82">
                  <c:v>3.0921599999999998</c:v>
                </c:pt>
                <c:pt idx="83">
                  <c:v>3.1153599999999999</c:v>
                </c:pt>
                <c:pt idx="84">
                  <c:v>3.13856</c:v>
                </c:pt>
                <c:pt idx="85">
                  <c:v>3.1617599999999997</c:v>
                </c:pt>
                <c:pt idx="86">
                  <c:v>3.1849599999999998</c:v>
                </c:pt>
                <c:pt idx="87">
                  <c:v>3.2081599999999995</c:v>
                </c:pt>
                <c:pt idx="88">
                  <c:v>3.2313599999999996</c:v>
                </c:pt>
                <c:pt idx="89">
                  <c:v>3.2545599999999997</c:v>
                </c:pt>
                <c:pt idx="90">
                  <c:v>3.2777599999999998</c:v>
                </c:pt>
                <c:pt idx="91">
                  <c:v>3.3009599999999999</c:v>
                </c:pt>
                <c:pt idx="92">
                  <c:v>3.32416</c:v>
                </c:pt>
                <c:pt idx="93">
                  <c:v>3.3473600000000001</c:v>
                </c:pt>
                <c:pt idx="94">
                  <c:v>3.3705600000000002</c:v>
                </c:pt>
                <c:pt idx="95">
                  <c:v>3.3937600000000003</c:v>
                </c:pt>
                <c:pt idx="96">
                  <c:v>3.4169599999999996</c:v>
                </c:pt>
                <c:pt idx="97">
                  <c:v>3.4401599999999997</c:v>
                </c:pt>
                <c:pt idx="98">
                  <c:v>3.4633599999999998</c:v>
                </c:pt>
                <c:pt idx="99">
                  <c:v>3.4865599999999999</c:v>
                </c:pt>
                <c:pt idx="100">
                  <c:v>3.50976</c:v>
                </c:pt>
                <c:pt idx="101">
                  <c:v>3.5329600000000001</c:v>
                </c:pt>
                <c:pt idx="102">
                  <c:v>3.5561600000000002</c:v>
                </c:pt>
                <c:pt idx="103">
                  <c:v>3.5793599999999994</c:v>
                </c:pt>
                <c:pt idx="104">
                  <c:v>3.6025599999999995</c:v>
                </c:pt>
                <c:pt idx="105">
                  <c:v>3.6257599999999996</c:v>
                </c:pt>
                <c:pt idx="106">
                  <c:v>3.6489599999999998</c:v>
                </c:pt>
                <c:pt idx="107">
                  <c:v>3.6721599999999999</c:v>
                </c:pt>
                <c:pt idx="108">
                  <c:v>3.69536</c:v>
                </c:pt>
                <c:pt idx="109">
                  <c:v>3.7185600000000001</c:v>
                </c:pt>
                <c:pt idx="110">
                  <c:v>3.7417600000000002</c:v>
                </c:pt>
                <c:pt idx="111">
                  <c:v>3.7649600000000003</c:v>
                </c:pt>
                <c:pt idx="112">
                  <c:v>3.7881600000000004</c:v>
                </c:pt>
                <c:pt idx="113">
                  <c:v>3.8113599999999996</c:v>
                </c:pt>
                <c:pt idx="114">
                  <c:v>3.8345599999999997</c:v>
                </c:pt>
                <c:pt idx="115">
                  <c:v>3.8577599999999999</c:v>
                </c:pt>
                <c:pt idx="116">
                  <c:v>3.88096</c:v>
                </c:pt>
                <c:pt idx="117">
                  <c:v>3.9041599999999992</c:v>
                </c:pt>
                <c:pt idx="118">
                  <c:v>3.9273599999999993</c:v>
                </c:pt>
                <c:pt idx="119">
                  <c:v>3.9505599999999994</c:v>
                </c:pt>
                <c:pt idx="120">
                  <c:v>3.9737599999999995</c:v>
                </c:pt>
                <c:pt idx="121">
                  <c:v>3.9969599999999996</c:v>
                </c:pt>
                <c:pt idx="122">
                  <c:v>4.0201599999999997</c:v>
                </c:pt>
                <c:pt idx="123">
                  <c:v>4.0433599999999998</c:v>
                </c:pt>
                <c:pt idx="124">
                  <c:v>4.06656</c:v>
                </c:pt>
                <c:pt idx="125">
                  <c:v>4.0897600000000001</c:v>
                </c:pt>
                <c:pt idx="126">
                  <c:v>4.1129600000000002</c:v>
                </c:pt>
                <c:pt idx="127">
                  <c:v>4.1361599999999994</c:v>
                </c:pt>
                <c:pt idx="128">
                  <c:v>4.1593599999999995</c:v>
                </c:pt>
                <c:pt idx="129">
                  <c:v>4.1825599999999996</c:v>
                </c:pt>
                <c:pt idx="130">
                  <c:v>4.2057599999999997</c:v>
                </c:pt>
                <c:pt idx="131">
                  <c:v>4.2289599999999998</c:v>
                </c:pt>
                <c:pt idx="132">
                  <c:v>4.2521599999999999</c:v>
                </c:pt>
                <c:pt idx="133">
                  <c:v>4.27536</c:v>
                </c:pt>
                <c:pt idx="134">
                  <c:v>4.2985600000000002</c:v>
                </c:pt>
                <c:pt idx="135">
                  <c:v>4.3217600000000003</c:v>
                </c:pt>
                <c:pt idx="136">
                  <c:v>4.3449600000000004</c:v>
                </c:pt>
                <c:pt idx="137">
                  <c:v>4.3681599999999996</c:v>
                </c:pt>
                <c:pt idx="138">
                  <c:v>4.3913599999999997</c:v>
                </c:pt>
                <c:pt idx="139">
                  <c:v>4.4145599999999998</c:v>
                </c:pt>
                <c:pt idx="140">
                  <c:v>4.4377599999999999</c:v>
                </c:pt>
                <c:pt idx="141">
                  <c:v>4.4609599999999991</c:v>
                </c:pt>
                <c:pt idx="142">
                  <c:v>4.4841599999999993</c:v>
                </c:pt>
                <c:pt idx="143">
                  <c:v>4.5073599999999994</c:v>
                </c:pt>
                <c:pt idx="144">
                  <c:v>4.5305599999999995</c:v>
                </c:pt>
                <c:pt idx="145">
                  <c:v>4.5537599999999996</c:v>
                </c:pt>
                <c:pt idx="146">
                  <c:v>4.5769599999999997</c:v>
                </c:pt>
                <c:pt idx="147">
                  <c:v>4.6001599999999998</c:v>
                </c:pt>
                <c:pt idx="148">
                  <c:v>4.6233599999999999</c:v>
                </c:pt>
                <c:pt idx="149">
                  <c:v>4.64656</c:v>
                </c:pt>
                <c:pt idx="150">
                  <c:v>4.6697599999999992</c:v>
                </c:pt>
              </c:numCache>
            </c:numRef>
          </c:yVal>
          <c:smooth val="1"/>
          <c:extLst>
            <c:ext xmlns:c16="http://schemas.microsoft.com/office/drawing/2014/chart" uri="{C3380CC4-5D6E-409C-BE32-E72D297353CC}">
              <c16:uniqueId val="{00000002-D428-476F-9D9B-414A5D21B4D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0</c:v>
                </c:pt>
                <c:pt idx="1">
                  <c:v>2.0246139702163139E-4</c:v>
                </c:pt>
                <c:pt idx="2">
                  <c:v>5.7264730704998951E-4</c:v>
                </c:pt>
                <c:pt idx="3">
                  <c:v>1.052020278638519E-3</c:v>
                </c:pt>
                <c:pt idx="4">
                  <c:v>1.6196911761730511E-3</c:v>
                </c:pt>
                <c:pt idx="5">
                  <c:v>2.2635872327997049E-3</c:v>
                </c:pt>
                <c:pt idx="6">
                  <c:v>2.9755626918842328E-3</c:v>
                </c:pt>
                <c:pt idx="7">
                  <c:v>3.7496375462696481E-3</c:v>
                </c:pt>
                <c:pt idx="8">
                  <c:v>4.5811784563999161E-3</c:v>
                </c:pt>
                <c:pt idx="9">
                  <c:v>5.4664577195840443E-3</c:v>
                </c:pt>
                <c:pt idx="10">
                  <c:v>6.4023915284798557E-3</c:v>
                </c:pt>
                <c:pt idx="11">
                  <c:v>7.3863733729712215E-3</c:v>
                </c:pt>
                <c:pt idx="12">
                  <c:v>8.4161622291081522E-3</c:v>
                </c:pt>
                <c:pt idx="13">
                  <c:v>9.489804327426337E-3</c:v>
                </c:pt>
                <c:pt idx="14">
                  <c:v>1.0605576543835817E-2</c:v>
                </c:pt>
                <c:pt idx="15">
                  <c:v>1.1761944283719988E-2</c:v>
                </c:pt>
                <c:pt idx="16">
                  <c:v>1.2957529409384409E-2</c:v>
                </c:pt>
                <c:pt idx="17">
                  <c:v>1.4191085325515078E-2</c:v>
                </c:pt>
                <c:pt idx="18">
                  <c:v>1.5461477290349716E-2</c:v>
                </c:pt>
                <c:pt idx="19">
                  <c:v>1.6767666622121789E-2</c:v>
                </c:pt>
                <c:pt idx="20">
                  <c:v>1.8108697862397639E-2</c:v>
                </c:pt>
                <c:pt idx="21">
                  <c:v>1.9483688220320775E-2</c:v>
                </c:pt>
                <c:pt idx="22">
                  <c:v>2.0891818801614812E-2</c:v>
                </c:pt>
                <c:pt idx="23">
                  <c:v>2.2332327252076234E-2</c:v>
                </c:pt>
                <c:pt idx="24">
                  <c:v>2.3804501535073855E-2</c:v>
                </c:pt>
                <c:pt idx="25">
                  <c:v>2.5307674627703919E-2</c:v>
                </c:pt>
                <c:pt idx="26">
                  <c:v>2.6841219968226415E-2</c:v>
                </c:pt>
                <c:pt idx="27">
                  <c:v>2.8404547523240016E-2</c:v>
                </c:pt>
                <c:pt idx="28">
                  <c:v>2.9997100370157175E-2</c:v>
                </c:pt>
                <c:pt idx="29">
                  <c:v>3.1618351711281079E-2</c:v>
                </c:pt>
                <c:pt idx="30">
                  <c:v>3.3267802251827017E-2</c:v>
                </c:pt>
                <c:pt idx="31">
                  <c:v>3.4944977886760382E-2</c:v>
                </c:pt>
                <c:pt idx="32">
                  <c:v>3.6649427651199329E-2</c:v>
                </c:pt>
                <c:pt idx="33">
                  <c:v>3.8380721896980177E-2</c:v>
                </c:pt>
                <c:pt idx="34">
                  <c:v>4.0138450664274461E-2</c:v>
                </c:pt>
                <c:pt idx="35">
                  <c:v>4.1922222222222236E-2</c:v>
                </c:pt>
                <c:pt idx="36">
                  <c:v>4.3731661756672362E-2</c:v>
                </c:pt>
                <c:pt idx="37">
                  <c:v>4.556641018649539E-2</c:v>
                </c:pt>
                <c:pt idx="38">
                  <c:v>4.7426123092710604E-2</c:v>
                </c:pt>
                <c:pt idx="39">
                  <c:v>4.9310469746968219E-2</c:v>
                </c:pt>
                <c:pt idx="40">
                  <c:v>5.1219132227838859E-2</c:v>
                </c:pt>
                <c:pt idx="41">
                  <c:v>5.3151804614962599E-2</c:v>
                </c:pt>
                <c:pt idx="42">
                  <c:v>5.5108192252453107E-2</c:v>
                </c:pt>
                <c:pt idx="43">
                  <c:v>5.70880110740868E-2</c:v>
                </c:pt>
                <c:pt idx="44">
                  <c:v>5.9090986983769779E-2</c:v>
                </c:pt>
                <c:pt idx="45">
                  <c:v>6.1116855285592013E-2</c:v>
                </c:pt>
                <c:pt idx="46">
                  <c:v>6.3165360158480968E-2</c:v>
                </c:pt>
                <c:pt idx="47">
                  <c:v>6.5236254171063532E-2</c:v>
                </c:pt>
                <c:pt idx="48">
                  <c:v>7.9203823648234153E-2</c:v>
                </c:pt>
                <c:pt idx="49">
                  <c:v>8.1834878792267016E-2</c:v>
                </c:pt>
                <c:pt idx="50">
                  <c:v>8.4520182495970764E-2</c:v>
                </c:pt>
                <c:pt idx="51">
                  <c:v>8.7259734759345231E-2</c:v>
                </c:pt>
                <c:pt idx="52">
                  <c:v>9.0053535582390529E-2</c:v>
                </c:pt>
                <c:pt idx="53">
                  <c:v>9.2901584965106587E-2</c:v>
                </c:pt>
                <c:pt idx="54">
                  <c:v>9.5803882907493393E-2</c:v>
                </c:pt>
                <c:pt idx="55">
                  <c:v>9.8760429409551057E-2</c:v>
                </c:pt>
                <c:pt idx="56">
                  <c:v>0.10177122447127947</c:v>
                </c:pt>
                <c:pt idx="57">
                  <c:v>0.10483626809267861</c:v>
                </c:pt>
                <c:pt idx="58">
                  <c:v>0.10795556027374853</c:v>
                </c:pt>
                <c:pt idx="59">
                  <c:v>0.11112910101448925</c:v>
                </c:pt>
                <c:pt idx="60">
                  <c:v>0.11435689031490082</c:v>
                </c:pt>
                <c:pt idx="61">
                  <c:v>0.11763892817498306</c:v>
                </c:pt>
                <c:pt idx="62">
                  <c:v>0.12097521459473617</c:v>
                </c:pt>
                <c:pt idx="63">
                  <c:v>0.12436574957416008</c:v>
                </c:pt>
                <c:pt idx="64">
                  <c:v>0.1278105331132548</c:v>
                </c:pt>
                <c:pt idx="65">
                  <c:v>0.13130956521202017</c:v>
                </c:pt>
                <c:pt idx="66">
                  <c:v>0.13486284587045641</c:v>
                </c:pt>
                <c:pt idx="67">
                  <c:v>0.13847037508856327</c:v>
                </c:pt>
                <c:pt idx="68">
                  <c:v>0.14213215286634115</c:v>
                </c:pt>
                <c:pt idx="69">
                  <c:v>0.14584817920378976</c:v>
                </c:pt>
                <c:pt idx="70">
                  <c:v>0.14961845410090904</c:v>
                </c:pt>
                <c:pt idx="71">
                  <c:v>0.15344297755769912</c:v>
                </c:pt>
                <c:pt idx="72">
                  <c:v>0.15732174957415992</c:v>
                </c:pt>
                <c:pt idx="73">
                  <c:v>0.16125477015029169</c:v>
                </c:pt>
                <c:pt idx="74">
                  <c:v>0.16524203928609416</c:v>
                </c:pt>
                <c:pt idx="75">
                  <c:v>0.16928355698156747</c:v>
                </c:pt>
                <c:pt idx="76">
                  <c:v>0.17337932323671154</c:v>
                </c:pt>
                <c:pt idx="77">
                  <c:v>0.1775293380515264</c:v>
                </c:pt>
                <c:pt idx="78">
                  <c:v>0.181733601426012</c:v>
                </c:pt>
                <c:pt idx="79">
                  <c:v>0.18599211336016824</c:v>
                </c:pt>
                <c:pt idx="80">
                  <c:v>0.19030487385399544</c:v>
                </c:pt>
                <c:pt idx="81">
                  <c:v>0.1946718829074934</c:v>
                </c:pt>
                <c:pt idx="82">
                  <c:v>0.19909314052066215</c:v>
                </c:pt>
                <c:pt idx="83">
                  <c:v>0.20356864669350169</c:v>
                </c:pt>
                <c:pt idx="84">
                  <c:v>0.20809840142601196</c:v>
                </c:pt>
                <c:pt idx="85">
                  <c:v>0.21268240471819305</c:v>
                </c:pt>
                <c:pt idx="86">
                  <c:v>0.21732065657004476</c:v>
                </c:pt>
                <c:pt idx="87">
                  <c:v>0.22201315698156743</c:v>
                </c:pt>
                <c:pt idx="88">
                  <c:v>0.22675990595276085</c:v>
                </c:pt>
                <c:pt idx="89">
                  <c:v>0.23156090348362512</c:v>
                </c:pt>
                <c:pt idx="90">
                  <c:v>0.23641614957416002</c:v>
                </c:pt>
                <c:pt idx="91">
                  <c:v>0.24132564422436589</c:v>
                </c:pt>
                <c:pt idx="92">
                  <c:v>0.24628938743424225</c:v>
                </c:pt>
                <c:pt idx="93">
                  <c:v>0.25130737920378965</c:v>
                </c:pt>
                <c:pt idx="94">
                  <c:v>0.2563796195330077</c:v>
                </c:pt>
                <c:pt idx="95">
                  <c:v>0.26150610842189664</c:v>
                </c:pt>
                <c:pt idx="96">
                  <c:v>0.26668684587045643</c:v>
                </c:pt>
                <c:pt idx="97">
                  <c:v>0.2719218318786869</c:v>
                </c:pt>
                <c:pt idx="98">
                  <c:v>0.27721106644658805</c:v>
                </c:pt>
                <c:pt idx="99">
                  <c:v>0.28255454957415999</c:v>
                </c:pt>
                <c:pt idx="100">
                  <c:v>0.28795228126140293</c:v>
                </c:pt>
                <c:pt idx="101">
                  <c:v>0.29340426150831656</c:v>
                </c:pt>
                <c:pt idx="102">
                  <c:v>0.29891049031490086</c:v>
                </c:pt>
                <c:pt idx="103">
                  <c:v>0.30447096768115606</c:v>
                </c:pt>
                <c:pt idx="104">
                  <c:v>0.31008569360708194</c:v>
                </c:pt>
                <c:pt idx="105">
                  <c:v>0.3157546680926786</c:v>
                </c:pt>
                <c:pt idx="106">
                  <c:v>0.32147789113794611</c:v>
                </c:pt>
                <c:pt idx="107">
                  <c:v>0.32725536274288436</c:v>
                </c:pt>
                <c:pt idx="108">
                  <c:v>0.33308708290749334</c:v>
                </c:pt>
                <c:pt idx="109">
                  <c:v>0.33897305163177321</c:v>
                </c:pt>
                <c:pt idx="110">
                  <c:v>0.34491326891572383</c:v>
                </c:pt>
                <c:pt idx="111">
                  <c:v>0.35090773475934522</c:v>
                </c:pt>
                <c:pt idx="112">
                  <c:v>0.35695644916263763</c:v>
                </c:pt>
                <c:pt idx="113">
                  <c:v>0.36305941212560056</c:v>
                </c:pt>
                <c:pt idx="114">
                  <c:v>0.36921662364823421</c:v>
                </c:pt>
                <c:pt idx="115">
                  <c:v>0.37542808373053882</c:v>
                </c:pt>
                <c:pt idx="116">
                  <c:v>0.38169379237251405</c:v>
                </c:pt>
                <c:pt idx="117">
                  <c:v>0.38801374957416013</c:v>
                </c:pt>
                <c:pt idx="118">
                  <c:v>0.39438795533547699</c:v>
                </c:pt>
                <c:pt idx="119">
                  <c:v>0.40081640965646459</c:v>
                </c:pt>
                <c:pt idx="120">
                  <c:v>0.40729911253712298</c:v>
                </c:pt>
                <c:pt idx="121">
                  <c:v>0.41383606397745243</c:v>
                </c:pt>
                <c:pt idx="122">
                  <c:v>0.420427263977452</c:v>
                </c:pt>
                <c:pt idx="123">
                  <c:v>0.42707271253712287</c:v>
                </c:pt>
                <c:pt idx="124">
                  <c:v>0.43377240965646457</c:v>
                </c:pt>
                <c:pt idx="125">
                  <c:v>0.44052635533547685</c:v>
                </c:pt>
                <c:pt idx="126">
                  <c:v>0.44733454957416008</c:v>
                </c:pt>
                <c:pt idx="127">
                  <c:v>0.45419699237251415</c:v>
                </c:pt>
                <c:pt idx="128">
                  <c:v>0.4611136837305389</c:v>
                </c:pt>
                <c:pt idx="129">
                  <c:v>0.46808462364823411</c:v>
                </c:pt>
                <c:pt idx="130">
                  <c:v>0.47510981212560044</c:v>
                </c:pt>
                <c:pt idx="131">
                  <c:v>0.4821892491626375</c:v>
                </c:pt>
                <c:pt idx="132">
                  <c:v>0.4893229347593453</c:v>
                </c:pt>
                <c:pt idx="133">
                  <c:v>0.49651086891572388</c:v>
                </c:pt>
                <c:pt idx="134">
                  <c:v>0.50375305163177342</c:v>
                </c:pt>
                <c:pt idx="135">
                  <c:v>0.51104948290749341</c:v>
                </c:pt>
                <c:pt idx="136">
                  <c:v>0.51840016274288447</c:v>
                </c:pt>
                <c:pt idx="137">
                  <c:v>0.52580509113794605</c:v>
                </c:pt>
                <c:pt idx="138">
                  <c:v>0.53326426809267891</c:v>
                </c:pt>
                <c:pt idx="139">
                  <c:v>0.54077769360708194</c:v>
                </c:pt>
                <c:pt idx="140">
                  <c:v>0.54834536768115583</c:v>
                </c:pt>
                <c:pt idx="141">
                  <c:v>0.55596729031490111</c:v>
                </c:pt>
                <c:pt idx="142">
                  <c:v>0.56364346150831646</c:v>
                </c:pt>
                <c:pt idx="143">
                  <c:v>0.57137388126140287</c:v>
                </c:pt>
                <c:pt idx="144">
                  <c:v>0.57915854957416002</c:v>
                </c:pt>
                <c:pt idx="145">
                  <c:v>0.5869974664465879</c:v>
                </c:pt>
                <c:pt idx="146">
                  <c:v>0.59489063187868674</c:v>
                </c:pt>
                <c:pt idx="147">
                  <c:v>0.60283804587045631</c:v>
                </c:pt>
                <c:pt idx="148">
                  <c:v>0.61083970842189661</c:v>
                </c:pt>
                <c:pt idx="149">
                  <c:v>0.61889561953300787</c:v>
                </c:pt>
                <c:pt idx="150">
                  <c:v>0.62700577920378986</c:v>
                </c:pt>
              </c:numCache>
            </c:numRef>
          </c:yVal>
          <c:smooth val="1"/>
          <c:extLst>
            <c:ext xmlns:c16="http://schemas.microsoft.com/office/drawing/2014/chart" uri="{C3380CC4-5D6E-409C-BE32-E72D297353CC}">
              <c16:uniqueId val="{00000003-D428-476F-9D9B-414A5D21B4D3}"/>
            </c:ext>
          </c:extLst>
        </c:ser>
        <c:dLbls>
          <c:showLegendKey val="0"/>
          <c:showVal val="0"/>
          <c:showCatName val="0"/>
          <c:showSerName val="0"/>
          <c:showPercent val="0"/>
          <c:showBubbleSize val="0"/>
        </c:dLbls>
        <c:axId val="162552448"/>
        <c:axId val="162550528"/>
      </c:scatterChart>
      <c:valAx>
        <c:axId val="161084544"/>
        <c:scaling>
          <c:orientation val="minMax"/>
        </c:scaling>
        <c:delete val="0"/>
        <c:axPos val="b"/>
        <c:majorGridlines/>
        <c:numFmt formatCode="General" sourceLinked="1"/>
        <c:majorTickMark val="out"/>
        <c:minorTickMark val="none"/>
        <c:tickLblPos val="nextTo"/>
        <c:crossAx val="161086080"/>
        <c:crosses val="autoZero"/>
        <c:crossBetween val="midCat"/>
      </c:valAx>
      <c:valAx>
        <c:axId val="16108608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61084544"/>
        <c:crosses val="autoZero"/>
        <c:crossBetween val="midCat"/>
      </c:valAx>
      <c:valAx>
        <c:axId val="162550528"/>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62552448"/>
        <c:crosses val="max"/>
        <c:crossBetween val="midCat"/>
      </c:valAx>
      <c:valAx>
        <c:axId val="16255244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62550528"/>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6" fmlaRange="$1:$1048576" noThreeD="1" sel="0" val="0"/>
</file>

<file path=xl/ctrlProps/ctrlProp2.xml><?xml version="1.0" encoding="utf-8"?>
<formControlPr xmlns="http://schemas.microsoft.com/office/spreadsheetml/2009/9/main" objectType="Spin" dx="20" fmlaLink="$H$8" max="45" noThreeD="1" page="10" val="15"/>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11.gif"/><Relationship Id="rId1" Type="http://schemas.openxmlformats.org/officeDocument/2006/relationships/hyperlink" Target="http://www.ti.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590550</xdr:colOff>
          <xdr:row>30</xdr:row>
          <xdr:rowOff>85725</xdr:rowOff>
        </xdr:from>
        <xdr:to>
          <xdr:col>16</xdr:col>
          <xdr:colOff>219075</xdr:colOff>
          <xdr:row>31</xdr:row>
          <xdr:rowOff>114300</xdr:rowOff>
        </xdr:to>
        <xdr:sp macro="" textlink="">
          <xdr:nvSpPr>
            <xdr:cNvPr id="1170" name="Drop Down 146" descr="This is just there to fix the excel issue with comments and linked pictures" hidden="1">
              <a:extLst>
                <a:ext uri="{63B3BB69-23CF-44E3-9099-C40C66FF867C}">
                  <a14:compatExt spid="_x0000_s1170"/>
                </a:ext>
                <a:ext uri="{FF2B5EF4-FFF2-40B4-BE49-F238E27FC236}">
                  <a16:creationId xmlns:a16="http://schemas.microsoft.com/office/drawing/2014/main" id="{00000000-0008-0000-0000-00009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twoCellAnchor>
    <xdr:from>
      <xdr:col>9</xdr:col>
      <xdr:colOff>22860</xdr:colOff>
      <xdr:row>50</xdr:row>
      <xdr:rowOff>1</xdr:rowOff>
    </xdr:from>
    <xdr:to>
      <xdr:col>25</xdr:col>
      <xdr:colOff>598714</xdr:colOff>
      <xdr:row>71</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74</xdr:row>
      <xdr:rowOff>7620</xdr:rowOff>
    </xdr:from>
    <xdr:to>
      <xdr:col>25</xdr:col>
      <xdr:colOff>600637</xdr:colOff>
      <xdr:row>98</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504825</xdr:colOff>
          <xdr:row>56</xdr:row>
          <xdr:rowOff>0</xdr:rowOff>
        </xdr:from>
        <xdr:to>
          <xdr:col>8</xdr:col>
          <xdr:colOff>9525</xdr:colOff>
          <xdr:row>58</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134501</xdr:colOff>
      <xdr:row>49</xdr:row>
      <xdr:rowOff>62752</xdr:rowOff>
    </xdr:from>
    <xdr:to>
      <xdr:col>15</xdr:col>
      <xdr:colOff>484124</xdr:colOff>
      <xdr:row>51</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326001" y="10338546"/>
          <a:ext cx="943535"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197245</xdr:colOff>
      <xdr:row>49</xdr:row>
      <xdr:rowOff>71718</xdr:rowOff>
    </xdr:from>
    <xdr:to>
      <xdr:col>16</xdr:col>
      <xdr:colOff>528939</xdr:colOff>
      <xdr:row>51</xdr:row>
      <xdr:rowOff>170330</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8955763" y="9538447"/>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15</a:t>
          </a:fld>
          <a:endParaRPr lang="en-US" sz="2400"/>
        </a:p>
      </xdr:txBody>
    </xdr:sp>
    <xdr:clientData/>
  </xdr:twoCellAnchor>
  <xdr:twoCellAnchor>
    <xdr:from>
      <xdr:col>15</xdr:col>
      <xdr:colOff>568726</xdr:colOff>
      <xdr:row>49</xdr:row>
      <xdr:rowOff>62752</xdr:rowOff>
    </xdr:from>
    <xdr:to>
      <xdr:col>17</xdr:col>
      <xdr:colOff>318274</xdr:colOff>
      <xdr:row>51</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354138" y="10338546"/>
          <a:ext cx="937371"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74</xdr:row>
      <xdr:rowOff>26894</xdr:rowOff>
    </xdr:from>
    <xdr:to>
      <xdr:col>13</xdr:col>
      <xdr:colOff>116540</xdr:colOff>
      <xdr:row>76</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12</xdr:col>
      <xdr:colOff>439261</xdr:colOff>
      <xdr:row>74</xdr:row>
      <xdr:rowOff>35860</xdr:rowOff>
    </xdr:from>
    <xdr:to>
      <xdr:col>14</xdr:col>
      <xdr:colOff>161355</xdr:colOff>
      <xdr:row>76</xdr:row>
      <xdr:rowOff>143437</xdr:rowOff>
    </xdr:to>
    <xdr:sp macro="" textlink="VIN_nom">
      <xdr:nvSpPr>
        <xdr:cNvPr id="10" name="TextBox 9">
          <a:extLst>
            <a:ext uri="{FF2B5EF4-FFF2-40B4-BE49-F238E27FC236}">
              <a16:creationId xmlns:a16="http://schemas.microsoft.com/office/drawing/2014/main" id="{00000000-0008-0000-0000-00000A000000}"/>
            </a:ext>
          </a:extLst>
        </xdr:cNvPr>
        <xdr:cNvSpPr txBox="1"/>
      </xdr:nvSpPr>
      <xdr:spPr>
        <a:xfrm>
          <a:off x="7368979" y="14388354"/>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15</a:t>
          </a:fld>
          <a:endParaRPr lang="en-US" sz="2400"/>
        </a:p>
      </xdr:txBody>
    </xdr:sp>
    <xdr:clientData/>
  </xdr:twoCellAnchor>
  <xdr:twoCellAnchor>
    <xdr:from>
      <xdr:col>13</xdr:col>
      <xdr:colOff>233079</xdr:colOff>
      <xdr:row>74</xdr:row>
      <xdr:rowOff>26894</xdr:rowOff>
    </xdr:from>
    <xdr:to>
      <xdr:col>14</xdr:col>
      <xdr:colOff>582702</xdr:colOff>
      <xdr:row>76</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772397"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99097</xdr:colOff>
      <xdr:row>67</xdr:row>
      <xdr:rowOff>155530</xdr:rowOff>
    </xdr:from>
    <xdr:to>
      <xdr:col>13</xdr:col>
      <xdr:colOff>150962</xdr:colOff>
      <xdr:row>68</xdr:row>
      <xdr:rowOff>132991</xdr:rowOff>
    </xdr:to>
    <xdr:sp macro="" textlink="Loop_Modeling!A69">
      <xdr:nvSpPr>
        <xdr:cNvPr id="14" name="TextBox 13">
          <a:extLst>
            <a:ext uri="{FF2B5EF4-FFF2-40B4-BE49-F238E27FC236}">
              <a16:creationId xmlns:a16="http://schemas.microsoft.com/office/drawing/2014/main" id="{00000000-0008-0000-0000-00000E000000}"/>
            </a:ext>
          </a:extLst>
        </xdr:cNvPr>
        <xdr:cNvSpPr txBox="1"/>
      </xdr:nvSpPr>
      <xdr:spPr>
        <a:xfrm>
          <a:off x="6475455" y="14328011"/>
          <a:ext cx="1230809" cy="1787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6E2E744-8A5D-4458-A426-E4363EDE50C7}" type="TxLink">
            <a:rPr lang="en-US" sz="1100" b="1" i="0" u="none" strike="noStrike">
              <a:solidFill>
                <a:schemeClr val="accent1">
                  <a:lumMod val="75000"/>
                </a:schemeClr>
              </a:solidFill>
              <a:latin typeface="Calibri"/>
              <a:cs typeface="Calibri"/>
            </a:rPr>
            <a:pPr/>
            <a:t>Phase Margin = 57°</a:t>
          </a:fld>
          <a:endParaRPr lang="en-US" sz="2400" b="1">
            <a:solidFill>
              <a:schemeClr val="accent1">
                <a:lumMod val="75000"/>
              </a:schemeClr>
            </a:solidFill>
          </a:endParaRPr>
        </a:p>
      </xdr:txBody>
    </xdr:sp>
    <xdr:clientData/>
  </xdr:twoCellAnchor>
  <xdr:twoCellAnchor>
    <xdr:from>
      <xdr:col>11</xdr:col>
      <xdr:colOff>98632</xdr:colOff>
      <xdr:row>66</xdr:row>
      <xdr:rowOff>109818</xdr:rowOff>
    </xdr:from>
    <xdr:to>
      <xdr:col>15</xdr:col>
      <xdr:colOff>224116</xdr:colOff>
      <xdr:row>67</xdr:row>
      <xdr:rowOff>123265</xdr:rowOff>
    </xdr:to>
    <xdr:sp macro="" textlink="Loop_Modeling!A68">
      <xdr:nvSpPr>
        <xdr:cNvPr id="15" name="TextBox 14">
          <a:extLst>
            <a:ext uri="{FF2B5EF4-FFF2-40B4-BE49-F238E27FC236}">
              <a16:creationId xmlns:a16="http://schemas.microsoft.com/office/drawing/2014/main" id="{00000000-0008-0000-0000-00000F000000}"/>
            </a:ext>
          </a:extLst>
        </xdr:cNvPr>
        <xdr:cNvSpPr txBox="1"/>
      </xdr:nvSpPr>
      <xdr:spPr>
        <a:xfrm>
          <a:off x="6508397" y="13982700"/>
          <a:ext cx="2501131" cy="2039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F506B42-A944-4597-8E98-BD1D41977E0E}" type="TxLink">
            <a:rPr lang="en-US" sz="1100" b="1" i="0" u="none" strike="noStrike">
              <a:solidFill>
                <a:srgbClr val="C00000"/>
              </a:solidFill>
              <a:latin typeface="+mn-lt"/>
              <a:cs typeface="Arial" panose="020B0604020202020204" pitchFamily="34" charset="0"/>
            </a:rPr>
            <a:pPr/>
            <a:t>Crossover Frequency = 55 kHz</a:t>
          </a:fld>
          <a:endParaRPr lang="en-US" sz="2400" b="1">
            <a:solidFill>
              <a:srgbClr val="C00000"/>
            </a:solidFill>
            <a:latin typeface="+mn-lt"/>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10</xdr:col>
          <xdr:colOff>18648</xdr:colOff>
          <xdr:row>6</xdr:row>
          <xdr:rowOff>9525</xdr:rowOff>
        </xdr:from>
        <xdr:to>
          <xdr:col>25</xdr:col>
          <xdr:colOff>417820</xdr:colOff>
          <xdr:row>36</xdr:row>
          <xdr:rowOff>167640</xdr:rowOff>
        </xdr:to>
        <xdr:pic>
          <xdr:nvPicPr>
            <xdr:cNvPr id="18" name="Picture 17">
              <a:extLst>
                <a:ext uri="{FF2B5EF4-FFF2-40B4-BE49-F238E27FC236}">
                  <a16:creationId xmlns:a16="http://schemas.microsoft.com/office/drawing/2014/main" id="{00000000-0008-0000-0000-000012000000}"/>
                </a:ext>
              </a:extLst>
            </xdr:cNvPr>
            <xdr:cNvPicPr>
              <a:picLocks noChangeAspect="1"/>
              <a:extLst>
                <a:ext uri="{84589F7E-364E-4C9E-8A38-B11213B215E9}">
                  <a14:cameraTool cellRange="display_SCH" spid="_x0000_s1215"/>
                </a:ext>
              </a:extLst>
            </xdr:cNvPicPr>
          </xdr:nvPicPr>
          <xdr:blipFill rotWithShape="1">
            <a:blip xmlns:r="http://schemas.openxmlformats.org/officeDocument/2006/relationships" r:embed="rId3"/>
            <a:srcRect/>
            <a:stretch>
              <a:fillRect/>
            </a:stretch>
          </xdr:blipFill>
          <xdr:spPr>
            <a:xfrm>
              <a:off x="5834501" y="1567143"/>
              <a:ext cx="9195790" cy="6116058"/>
            </a:xfrm>
            <a:prstGeom prst="rect">
              <a:avLst/>
            </a:prstGeom>
            <a:solidFill>
              <a:schemeClr val="bg1"/>
            </a:solidFill>
          </xdr:spPr>
        </xdr:pic>
        <xdr:clientData/>
      </xdr:twoCellAnchor>
    </mc:Choice>
    <mc:Fallback/>
  </mc:AlternateContent>
  <xdr:twoCellAnchor>
    <xdr:from>
      <xdr:col>14</xdr:col>
      <xdr:colOff>333375</xdr:colOff>
      <xdr:row>16</xdr:row>
      <xdr:rowOff>85724</xdr:rowOff>
    </xdr:from>
    <xdr:to>
      <xdr:col>16</xdr:col>
      <xdr:colOff>428625</xdr:colOff>
      <xdr:row>18</xdr:row>
      <xdr:rowOff>57149</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8486775" y="3543299"/>
          <a:ext cx="1276350"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Arial" panose="020B0604020202020204" pitchFamily="34" charset="0"/>
              <a:cs typeface="Arial" panose="020B0604020202020204" pitchFamily="34" charset="0"/>
            </a:rPr>
            <a:t>LM5155/56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851647</xdr:colOff>
      <xdr:row>215</xdr:row>
      <xdr:rowOff>170330</xdr:rowOff>
    </xdr:from>
    <xdr:to>
      <xdr:col>14</xdr:col>
      <xdr:colOff>484094</xdr:colOff>
      <xdr:row>223</xdr:row>
      <xdr:rowOff>71719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807388" y="26544495"/>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154</xdr:row>
          <xdr:rowOff>133350</xdr:rowOff>
        </xdr:from>
        <xdr:to>
          <xdr:col>12</xdr:col>
          <xdr:colOff>390525</xdr:colOff>
          <xdr:row>157</xdr:row>
          <xdr:rowOff>19050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842683</xdr:colOff>
      <xdr:row>186</xdr:row>
      <xdr:rowOff>17930</xdr:rowOff>
    </xdr:from>
    <xdr:to>
      <xdr:col>14</xdr:col>
      <xdr:colOff>475130</xdr:colOff>
      <xdr:row>195</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voltage range</a:t>
          </a:r>
          <a:endParaRPr lang="en-US" sz="1100"/>
        </a:p>
      </xdr:txBody>
    </xdr:sp>
    <xdr:clientData/>
  </xdr:twoCellAnchor>
  <xdr:twoCellAnchor>
    <xdr:from>
      <xdr:col>14</xdr:col>
      <xdr:colOff>11205</xdr:colOff>
      <xdr:row>33</xdr:row>
      <xdr:rowOff>100853</xdr:rowOff>
    </xdr:from>
    <xdr:to>
      <xdr:col>18</xdr:col>
      <xdr:colOff>582705</xdr:colOff>
      <xdr:row>38</xdr:row>
      <xdr:rowOff>78441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2920381" y="6555441"/>
          <a:ext cx="2991971" cy="930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Lm is </a:t>
          </a:r>
        </a:p>
        <a:p>
          <a:r>
            <a:rPr lang="en-US" sz="1100" baseline="0"/>
            <a:t>lower then each of them -&gt; CCM</a:t>
          </a:r>
        </a:p>
        <a:p>
          <a:r>
            <a:rPr lang="en-US" sz="1100" baseline="0"/>
            <a:t>Higher </a:t>
          </a:r>
          <a:r>
            <a:rPr lang="en-US" sz="1100" baseline="0">
              <a:solidFill>
                <a:schemeClr val="dk1"/>
              </a:solidFill>
              <a:effectLst/>
              <a:latin typeface="+mn-lt"/>
              <a:ea typeface="+mn-ea"/>
              <a:cs typeface="+mn-cs"/>
            </a:rPr>
            <a:t>lower then each of them </a:t>
          </a:r>
          <a:r>
            <a:rPr lang="en-US" sz="1100" baseline="0"/>
            <a:t> -&gt; DCM</a:t>
          </a:r>
        </a:p>
        <a:p>
          <a:r>
            <a:rPr lang="en-US" sz="1100" baseline="0"/>
            <a:t>else CCM and DCM </a:t>
          </a:r>
          <a:endParaRPr lang="en-US" sz="1100"/>
        </a:p>
      </xdr:txBody>
    </xdr:sp>
    <xdr:clientData/>
  </xdr:twoCellAnchor>
  <xdr:twoCellAnchor>
    <xdr:from>
      <xdr:col>13</xdr:col>
      <xdr:colOff>268941</xdr:colOff>
      <xdr:row>23</xdr:row>
      <xdr:rowOff>112059</xdr:rowOff>
    </xdr:from>
    <xdr:to>
      <xdr:col>16</xdr:col>
      <xdr:colOff>571500</xdr:colOff>
      <xdr:row>28</xdr:row>
      <xdr:rowOff>168088</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920382" y="4661647"/>
          <a:ext cx="2330824" cy="1008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Check</a:t>
          </a:r>
          <a:r>
            <a:rPr lang="en-US" sz="1100" baseline="0"/>
            <a:t> if DC for DCM would be less the DC for CCM -&gt; in this case it would run in DCM mode</a:t>
          </a:r>
        </a:p>
        <a:p>
          <a:r>
            <a:rPr lang="en-US" sz="1100" baseline="0"/>
            <a:t>Check if at the 3 points CCM or DCM would be used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528917</xdr:colOff>
      <xdr:row>67</xdr:row>
      <xdr:rowOff>89006</xdr:rowOff>
    </xdr:from>
    <xdr:to>
      <xdr:col>30</xdr:col>
      <xdr:colOff>79513</xdr:colOff>
      <xdr:row>86</xdr:row>
      <xdr:rowOff>92765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186690</xdr:colOff>
      <xdr:row>39</xdr:row>
      <xdr:rowOff>167640</xdr:rowOff>
    </xdr:from>
    <xdr:to>
      <xdr:col>34</xdr:col>
      <xdr:colOff>530487</xdr:colOff>
      <xdr:row>45</xdr:row>
      <xdr:rowOff>56599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34</xdr:col>
      <xdr:colOff>247650</xdr:colOff>
      <xdr:row>40</xdr:row>
      <xdr:rowOff>60960</xdr:rowOff>
    </xdr:from>
    <xdr:to>
      <xdr:col>38</xdr:col>
      <xdr:colOff>567929</xdr:colOff>
      <xdr:row>44</xdr:row>
      <xdr:rowOff>148662</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31</xdr:col>
      <xdr:colOff>30480</xdr:colOff>
      <xdr:row>49</xdr:row>
      <xdr:rowOff>64770</xdr:rowOff>
    </xdr:from>
    <xdr:to>
      <xdr:col>42</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317182</xdr:colOff>
      <xdr:row>23</xdr:row>
      <xdr:rowOff>62388</xdr:rowOff>
    </xdr:from>
    <xdr:to>
      <xdr:col>24</xdr:col>
      <xdr:colOff>450532</xdr:colOff>
      <xdr:row>47</xdr:row>
      <xdr:rowOff>20478</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38</xdr:row>
      <xdr:rowOff>8964</xdr:rowOff>
    </xdr:from>
    <xdr:to>
      <xdr:col>11</xdr:col>
      <xdr:colOff>591031</xdr:colOff>
      <xdr:row>46</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187669" y="753371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points</a:t>
          </a:r>
          <a:r>
            <a:rPr lang="en-US" sz="1100" baseline="0"/>
            <a:t> later to show where the pole and zerDc_Mode_Loopos of the loops are at. Similar to the LM5175 QS</a:t>
          </a:r>
        </a:p>
        <a:p>
          <a:endParaRPr lang="en-US" sz="1100" baseline="0"/>
        </a:p>
        <a:p>
          <a:r>
            <a:rPr lang="en-US" sz="1100" baseline="0"/>
            <a:t>Should also update to the more accurate equation of the DC gain. See Mathcad and Sheehan paper.</a:t>
          </a:r>
          <a:endParaRPr lang="en-US" sz="1100"/>
        </a:p>
      </xdr:txBody>
    </xdr:sp>
    <xdr:clientData/>
  </xdr:twoCellAnchor>
  <xdr:twoCellAnchor>
    <xdr:from>
      <xdr:col>8</xdr:col>
      <xdr:colOff>0</xdr:colOff>
      <xdr:row>52</xdr:row>
      <xdr:rowOff>13855</xdr:rowOff>
    </xdr:from>
    <xdr:to>
      <xdr:col>12</xdr:col>
      <xdr:colOff>83127</xdr:colOff>
      <xdr:row>63</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Next</a:t>
          </a:r>
          <a:r>
            <a:rPr lang="en-US" sz="1100" baseline="0"/>
            <a:t> Revision additions</a:t>
          </a:r>
        </a:p>
        <a:p>
          <a:r>
            <a:rPr lang="en-US" sz="1100" baseline="0"/>
            <a:t>- Add the effect of the EA output resistance and capacitance</a:t>
          </a:r>
        </a:p>
      </xdr:txBody>
    </xdr:sp>
    <xdr:clientData/>
  </xdr:twoCellAnchor>
  <xdr:twoCellAnchor>
    <xdr:from>
      <xdr:col>8</xdr:col>
      <xdr:colOff>291694</xdr:colOff>
      <xdr:row>12</xdr:row>
      <xdr:rowOff>113739</xdr:rowOff>
    </xdr:from>
    <xdr:to>
      <xdr:col>12</xdr:col>
      <xdr:colOff>267182</xdr:colOff>
      <xdr:row>20</xdr:row>
      <xdr:rowOff>188419</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6471038" y="263786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Duty Cycle</a:t>
          </a:r>
          <a:r>
            <a:rPr lang="en-US" sz="1100" baseline="0"/>
            <a:t> mode for </a:t>
          </a:r>
          <a:r>
            <a:rPr lang="en-US" sz="1100"/>
            <a:t>Loop Comenstation is fixed to</a:t>
          </a:r>
          <a:r>
            <a:rPr lang="en-US" sz="1100" baseline="0"/>
            <a:t> CCM as it stable in DCM when stable in CCM but if required could be also set to selected mode on variable Management page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1</xdr:row>
      <xdr:rowOff>0</xdr:rowOff>
    </xdr:from>
    <xdr:to>
      <xdr:col>1</xdr:col>
      <xdr:colOff>5057640</xdr:colOff>
      <xdr:row>1</xdr:row>
      <xdr:rowOff>2762250</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599" y="1905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609599</xdr:colOff>
      <xdr:row>3</xdr:row>
      <xdr:rowOff>0</xdr:rowOff>
    </xdr:from>
    <xdr:to>
      <xdr:col>1</xdr:col>
      <xdr:colOff>5057640</xdr:colOff>
      <xdr:row>3</xdr:row>
      <xdr:rowOff>2762250</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599" y="37719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592455</xdr:colOff>
      <xdr:row>2</xdr:row>
      <xdr:rowOff>93296</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91452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323850</xdr:colOff>
      <xdr:row>1</xdr:row>
      <xdr:rowOff>28575</xdr:rowOff>
    </xdr:from>
    <xdr:ext cx="4719497" cy="254557"/>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800-000004000000}"/>
            </a:ext>
          </a:extLst>
        </xdr:cNvPr>
        <xdr:cNvSpPr txBox="1"/>
      </xdr:nvSpPr>
      <xdr:spPr>
        <a:xfrm>
          <a:off x="6419850" y="209550"/>
          <a:ext cx="471949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2021</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6</xdr:row>
      <xdr:rowOff>47623</xdr:rowOff>
    </xdr:from>
    <xdr:ext cx="11229977" cy="4086227"/>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95247" y="1114423"/>
          <a:ext cx="11229977" cy="4086227"/>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latin typeface="Arial" panose="020B0604020202020204" pitchFamily="34" charset="0"/>
              <a:cs typeface="Arial" panose="020B0604020202020204" pitchFamily="34" charset="0"/>
            </a:rPr>
            <a:t>LICENSE INFORMATION:</a:t>
          </a:r>
        </a:p>
        <a:p>
          <a:r>
            <a:rPr lang="en-US" sz="900">
              <a:solidFill>
                <a:schemeClr val="tx1"/>
              </a:solidFill>
              <a:effectLst/>
              <a:latin typeface="Arial" panose="020B0604020202020204" pitchFamily="34" charset="0"/>
              <a:ea typeface="+mn-ea"/>
              <a:cs typeface="Arial" panose="020B0604020202020204" pitchFamily="34" charset="0"/>
            </a:rPr>
            <a:t>Copyright (c) 2021 Texas Instruments Incorporated</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All rights reserved not granted herein.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Limited License.  </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Redistributions must preserve existing copyright notices and reproduce this license (including the above copyright notice and the disclaimer and (if applicable) source code license limitations below) in the documentation and/or other materials provided with the distribution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 and use in binary form, without modification,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No reverse engineering, decompilation, or disassembly of this software is permitted with respect to any software provided in binary form. </a:t>
          </a:r>
        </a:p>
        <a:p>
          <a:r>
            <a:rPr lang="en-US" sz="900">
              <a:solidFill>
                <a:schemeClr val="tx1"/>
              </a:solidFill>
              <a:effectLst/>
              <a:latin typeface="Arial" panose="020B0604020202020204" pitchFamily="34" charset="0"/>
              <a:ea typeface="+mn-ea"/>
              <a:cs typeface="Arial" panose="020B0604020202020204" pitchFamily="34" charset="0"/>
            </a:rPr>
            <a:t>*	Any redistribution and use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Nothing shall obligate TI to provide you with source code for the software licensed and provided to you in object code.</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If software source code is provided to you, modification and redistribution of the source code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the source code, including any resulting derivative works,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any object code compiled from the source code and any resulting derivative works, are licensed by TI for use only with TI Devices.</a:t>
          </a:r>
        </a:p>
        <a:p>
          <a:endParaRPr lang="en-US" sz="900">
            <a:solidFill>
              <a:schemeClr val="tx1"/>
            </a:solidFill>
            <a:effectLst/>
            <a:latin typeface="Arial" panose="020B0604020202020204" pitchFamily="34" charset="0"/>
            <a:ea typeface="+mn-ea"/>
            <a:cs typeface="Arial" panose="020B0604020202020204" pitchFamily="34" charset="0"/>
          </a:endParaRPr>
        </a:p>
        <a:p>
          <a:r>
            <a:rPr lang="en-US" sz="900">
              <a:solidFill>
                <a:schemeClr val="tx1"/>
              </a:solidFill>
              <a:effectLst/>
              <a:latin typeface="Arial" panose="020B0604020202020204" pitchFamily="34" charset="0"/>
              <a:ea typeface="+mn-ea"/>
              <a:cs typeface="Arial" panose="020B0604020202020204" pitchFamily="34" charset="0"/>
            </a:rPr>
            <a:t>Neither the name of Texas Instruments Incorporated nor the names of its suppliers may be used to endorse or promote products derived from this software without specific prior written permission.</a:t>
          </a:r>
          <a:endParaRPr lang="en-US" sz="1000" b="1">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Arial" panose="020B0604020202020204" pitchFamily="34" charset="0"/>
              <a:cs typeface="Arial" panose="020B0604020202020204" pitchFamily="34" charset="0"/>
            </a:rPr>
            <a:t>DISCLAMER:</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latin typeface="Arial" panose="020B0604020202020204" pitchFamily="34" charset="0"/>
              <a:cs typeface="Arial" panose="020B0604020202020204" pitchFamily="34" charset="0"/>
            </a:rPr>
            <a:t>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a:t>
          </a:r>
        </a:p>
      </xdr:txBody>
    </xdr:sp>
    <xdr:clientData/>
  </xdr:oneCellAnchor>
  <xdr:oneCellAnchor>
    <xdr:from>
      <xdr:col>0</xdr:col>
      <xdr:colOff>95247</xdr:colOff>
      <xdr:row>29</xdr:row>
      <xdr:rowOff>47623</xdr:rowOff>
    </xdr:from>
    <xdr:ext cx="11229977" cy="809627"/>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95247" y="5276848"/>
          <a:ext cx="11229977" cy="80962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IMPORTANT</a:t>
          </a:r>
          <a:r>
            <a:rPr lang="en-US" sz="1100" b="1" baseline="0">
              <a:solidFill>
                <a:schemeClr val="tx1"/>
              </a:solidFill>
              <a:effectLst/>
              <a:latin typeface="+mn-lt"/>
              <a:ea typeface="+mn-ea"/>
              <a:cs typeface="+mn-cs"/>
            </a:rPr>
            <a:t>:   </a:t>
          </a:r>
          <a:endParaRPr lang="en-US" sz="800">
            <a:effectLst/>
          </a:endParaRPr>
        </a:p>
        <a:p>
          <a:r>
            <a:rPr lang="en-US" sz="1100" baseline="0">
              <a:solidFill>
                <a:schemeClr val="tx1"/>
              </a:solidFill>
              <a:effectLst/>
              <a:latin typeface="+mn-lt"/>
              <a:ea typeface="+mn-ea"/>
              <a:cs typeface="+mn-cs"/>
            </a:rPr>
            <a:t>1.  Do not delete this worksheet!</a:t>
          </a:r>
          <a:endParaRPr lang="en-US" sz="800">
            <a:effectLst/>
          </a:endParaRPr>
        </a:p>
        <a:p>
          <a:pPr eaLnBrk="1" fontAlgn="auto" latinLnBrk="0" hangingPunct="1"/>
          <a:r>
            <a:rPr lang="en-US" sz="1100" baseline="0">
              <a:solidFill>
                <a:schemeClr val="tx1"/>
              </a:solidFill>
              <a:effectLst/>
              <a:latin typeface="+mn-lt"/>
              <a:ea typeface="+mn-ea"/>
              <a:cs typeface="+mn-cs"/>
            </a:rPr>
            <a:t>2.  Redistributions must retain the above copyright and the following disclaimer.</a:t>
          </a:r>
          <a:endParaRPr lang="en-US" sz="800">
            <a:effectLst/>
          </a:endParaRPr>
        </a:p>
        <a:p>
          <a:endParaRPr lang="en-US" sz="800" baseline="0">
            <a:latin typeface="Arial" panose="020B0604020202020204" pitchFamily="34" charset="0"/>
            <a:cs typeface="Arial" panose="020B060402020202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0196876\Downloads\ADS1235%20Design%20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of Contents "/>
      <sheetName val="Common-Mode Range"/>
      <sheetName val="Code Conversions"/>
      <sheetName val="Digital Filter"/>
      <sheetName val="STATUS"/>
      <sheetName val="CRC"/>
      <sheetName val="About"/>
      <sheetName val="Help"/>
    </sheetNames>
    <sheetDataSet>
      <sheetData sheetId="0" refreshError="1"/>
      <sheetData sheetId="1" refreshError="1"/>
      <sheetData sheetId="2" refreshError="1"/>
      <sheetData sheetId="3">
        <row r="84">
          <cell r="T84" t="b">
            <v>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0"/>
  <sheetViews>
    <sheetView tabSelected="1" topLeftCell="A43" zoomScaleNormal="100" workbookViewId="0">
      <selection activeCell="H76" sqref="H76"/>
    </sheetView>
  </sheetViews>
  <sheetFormatPr baseColWidth="10" defaultColWidth="8.85546875" defaultRowHeight="15" x14ac:dyDescent="0.25"/>
  <cols>
    <col min="1" max="5" width="8.85546875" style="57" customWidth="1"/>
    <col min="6" max="6" width="12.7109375" style="57" bestFit="1" customWidth="1"/>
    <col min="7" max="7" width="8.85546875" style="113" customWidth="1"/>
    <col min="8" max="8" width="12" style="57" bestFit="1" customWidth="1"/>
    <col min="9" max="9" width="4.28515625" style="57" bestFit="1" customWidth="1"/>
    <col min="10" max="10" width="4.7109375" style="57" customWidth="1"/>
    <col min="11" max="21" width="8.85546875" style="57" customWidth="1"/>
    <col min="22" max="22" width="7.28515625" style="57" customWidth="1"/>
    <col min="23" max="26" width="8.85546875" style="57" customWidth="1"/>
    <col min="27" max="27" width="1.7109375" style="114" customWidth="1"/>
    <col min="28" max="16384" width="8.85546875" style="57"/>
  </cols>
  <sheetData>
    <row r="1" spans="1:27" ht="46.9" customHeight="1" x14ac:dyDescent="0.25">
      <c r="A1" s="53"/>
      <c r="B1" s="53"/>
      <c r="C1" s="53"/>
      <c r="D1" s="53"/>
      <c r="E1" s="54" t="s">
        <v>579</v>
      </c>
      <c r="F1" s="53"/>
      <c r="G1" s="55"/>
      <c r="H1" s="53"/>
      <c r="I1" s="53"/>
      <c r="J1" s="53"/>
      <c r="K1" s="53"/>
      <c r="L1" s="53"/>
      <c r="M1" s="53"/>
      <c r="N1" s="53"/>
      <c r="O1" s="53"/>
      <c r="P1" s="53"/>
      <c r="Q1" s="53"/>
      <c r="R1" s="53"/>
      <c r="S1" s="53"/>
      <c r="T1" s="53"/>
      <c r="U1" s="53"/>
      <c r="V1" s="53"/>
      <c r="W1" s="53"/>
      <c r="X1" s="53"/>
      <c r="Y1" s="53"/>
      <c r="Z1" s="53"/>
      <c r="AA1" s="56"/>
    </row>
    <row r="2" spans="1:27" x14ac:dyDescent="0.25">
      <c r="A2" s="58"/>
      <c r="B2" s="58"/>
      <c r="C2" s="58"/>
      <c r="D2" s="58"/>
      <c r="E2" s="58"/>
      <c r="F2" s="58"/>
      <c r="G2" s="59"/>
      <c r="H2" s="58"/>
      <c r="I2" s="58"/>
      <c r="J2" s="58"/>
      <c r="K2" s="58"/>
      <c r="L2" s="58"/>
      <c r="M2" s="58"/>
      <c r="N2" s="58"/>
      <c r="O2" s="58"/>
      <c r="P2" s="58"/>
      <c r="Q2" s="58"/>
      <c r="R2" s="58"/>
      <c r="S2" s="58"/>
      <c r="T2" s="58"/>
      <c r="U2" s="58"/>
      <c r="V2" s="58"/>
      <c r="W2" s="58"/>
      <c r="X2" s="58"/>
      <c r="Y2" s="58"/>
      <c r="Z2" s="58"/>
      <c r="AA2" s="56"/>
    </row>
    <row r="3" spans="1:27" x14ac:dyDescent="0.25">
      <c r="A3" s="60" t="s">
        <v>1</v>
      </c>
      <c r="B3" s="58"/>
      <c r="C3" s="58"/>
      <c r="D3" s="58"/>
      <c r="E3" s="61"/>
      <c r="F3" s="62" t="s">
        <v>2</v>
      </c>
      <c r="G3" s="59"/>
      <c r="H3" s="58"/>
      <c r="I3" s="58"/>
      <c r="J3" s="58"/>
      <c r="K3" s="58"/>
      <c r="L3" s="58"/>
      <c r="M3" s="58"/>
      <c r="N3" s="228" t="s">
        <v>0</v>
      </c>
      <c r="O3" s="228"/>
      <c r="P3" s="58"/>
      <c r="Q3" s="58"/>
      <c r="R3" s="58"/>
      <c r="S3" s="58"/>
      <c r="T3" s="58"/>
      <c r="U3" s="58"/>
      <c r="V3" s="58"/>
      <c r="W3" s="58"/>
      <c r="X3" s="58"/>
      <c r="Y3" s="58"/>
      <c r="Z3" s="58"/>
      <c r="AA3" s="56"/>
    </row>
    <row r="4" spans="1:27" s="66" customFormat="1" x14ac:dyDescent="0.25">
      <c r="A4" s="63"/>
      <c r="B4" s="63"/>
      <c r="C4" s="63"/>
      <c r="D4" s="63"/>
      <c r="E4" s="63"/>
      <c r="F4" s="63"/>
      <c r="G4" s="64"/>
      <c r="H4" s="63"/>
      <c r="I4" s="63"/>
      <c r="J4" s="63"/>
      <c r="K4" s="63"/>
      <c r="L4" s="63"/>
      <c r="M4" s="63"/>
      <c r="N4" s="63"/>
      <c r="O4" s="63"/>
      <c r="P4" s="63"/>
      <c r="Q4" s="63"/>
      <c r="R4" s="63"/>
      <c r="S4" s="63"/>
      <c r="T4" s="63"/>
      <c r="U4" s="63"/>
      <c r="V4" s="63"/>
      <c r="W4" s="63"/>
      <c r="X4" s="63"/>
      <c r="Y4" s="63"/>
      <c r="Z4" s="63"/>
      <c r="AA4" s="65"/>
    </row>
    <row r="5" spans="1:27" x14ac:dyDescent="0.25">
      <c r="A5" s="67"/>
      <c r="B5" s="67"/>
      <c r="C5" s="67"/>
      <c r="D5" s="67"/>
      <c r="E5" s="67"/>
      <c r="F5" s="67"/>
      <c r="G5" s="68"/>
      <c r="H5" s="67"/>
      <c r="I5" s="67"/>
      <c r="J5" s="67"/>
      <c r="K5" s="67"/>
      <c r="L5" s="67"/>
      <c r="M5" s="67"/>
      <c r="N5" s="67" t="s">
        <v>577</v>
      </c>
      <c r="O5" s="69" t="s">
        <v>578</v>
      </c>
      <c r="P5" s="67"/>
      <c r="Q5" s="67"/>
      <c r="R5" s="67"/>
      <c r="S5" s="67"/>
      <c r="T5" s="67"/>
      <c r="U5" s="67"/>
      <c r="V5" s="67"/>
      <c r="W5" s="67"/>
      <c r="X5" s="67"/>
      <c r="Y5" s="67"/>
      <c r="Z5" s="67"/>
      <c r="AA5" s="56"/>
    </row>
    <row r="6" spans="1:27" ht="15.75" thickBot="1" x14ac:dyDescent="0.3">
      <c r="A6" s="70" t="s">
        <v>3</v>
      </c>
      <c r="B6" s="67"/>
      <c r="C6" s="67"/>
      <c r="D6" s="67"/>
      <c r="E6" s="67"/>
      <c r="F6" s="67"/>
      <c r="G6" s="68"/>
      <c r="H6" s="67"/>
      <c r="I6" s="67"/>
      <c r="J6" s="67"/>
      <c r="K6" s="67"/>
      <c r="L6" s="67"/>
      <c r="M6" s="67"/>
      <c r="N6" s="67"/>
      <c r="O6" s="67"/>
      <c r="P6" s="67"/>
      <c r="Q6" s="67"/>
      <c r="R6" s="67"/>
      <c r="S6" s="67"/>
      <c r="T6" s="67"/>
      <c r="U6" s="67"/>
      <c r="V6" s="67"/>
      <c r="W6" s="67"/>
      <c r="X6" s="67"/>
      <c r="Y6" s="67"/>
      <c r="Z6" s="67"/>
      <c r="AA6" s="56"/>
    </row>
    <row r="7" spans="1:27" x14ac:dyDescent="0.25">
      <c r="A7" s="71"/>
      <c r="B7" s="72"/>
      <c r="C7" s="72"/>
      <c r="D7" s="72"/>
      <c r="E7" s="72"/>
      <c r="F7" s="72"/>
      <c r="G7" s="73" t="s">
        <v>4</v>
      </c>
      <c r="H7" s="116">
        <v>11</v>
      </c>
      <c r="I7" s="74" t="s">
        <v>10</v>
      </c>
      <c r="J7" s="67"/>
      <c r="K7" s="67"/>
      <c r="L7" s="67"/>
      <c r="M7" s="67"/>
      <c r="N7" s="67"/>
      <c r="O7" s="67"/>
      <c r="P7" s="67"/>
      <c r="Q7" s="67"/>
      <c r="R7" s="67"/>
      <c r="S7" s="67"/>
      <c r="T7" s="67"/>
      <c r="U7" s="67"/>
      <c r="V7" s="67"/>
      <c r="W7" s="67"/>
      <c r="X7" s="67"/>
      <c r="Y7" s="67"/>
      <c r="Z7" s="67"/>
      <c r="AA7" s="56"/>
    </row>
    <row r="8" spans="1:27" x14ac:dyDescent="0.25">
      <c r="A8" s="75"/>
      <c r="B8" s="67"/>
      <c r="C8" s="67"/>
      <c r="D8" s="67"/>
      <c r="E8" s="67"/>
      <c r="F8" s="67"/>
      <c r="G8" s="76" t="s">
        <v>5</v>
      </c>
      <c r="H8" s="117">
        <v>15</v>
      </c>
      <c r="I8" s="77" t="s">
        <v>10</v>
      </c>
      <c r="J8" s="67"/>
      <c r="K8" s="67"/>
      <c r="L8" s="67"/>
      <c r="M8" s="67"/>
      <c r="N8" s="67"/>
      <c r="O8" s="67"/>
      <c r="P8" s="67"/>
      <c r="Q8" s="67"/>
      <c r="R8" s="67"/>
      <c r="S8" s="67"/>
      <c r="T8" s="67"/>
      <c r="U8" s="67"/>
      <c r="V8" s="67"/>
      <c r="W8" s="67"/>
      <c r="X8" s="67"/>
      <c r="Y8" s="67"/>
      <c r="Z8" s="67"/>
      <c r="AA8" s="56"/>
    </row>
    <row r="9" spans="1:27" x14ac:dyDescent="0.25">
      <c r="A9" s="75"/>
      <c r="B9" s="67"/>
      <c r="C9" s="67"/>
      <c r="D9" s="67"/>
      <c r="E9" s="67"/>
      <c r="F9" s="67"/>
      <c r="G9" s="76" t="s">
        <v>6</v>
      </c>
      <c r="H9" s="117">
        <v>22</v>
      </c>
      <c r="I9" s="77" t="s">
        <v>10</v>
      </c>
      <c r="J9" s="67"/>
      <c r="K9" s="67"/>
      <c r="L9" s="67"/>
      <c r="M9" s="67"/>
      <c r="N9" s="67"/>
      <c r="O9" s="67"/>
      <c r="P9" s="67"/>
      <c r="Q9" s="67"/>
      <c r="R9" s="67"/>
      <c r="S9" s="67"/>
      <c r="T9" s="67"/>
      <c r="U9" s="67"/>
      <c r="V9" s="67"/>
      <c r="W9" s="67"/>
      <c r="X9" s="67"/>
      <c r="Y9" s="67"/>
      <c r="Z9" s="67"/>
      <c r="AA9" s="56"/>
    </row>
    <row r="10" spans="1:27" x14ac:dyDescent="0.25">
      <c r="A10" s="75"/>
      <c r="B10" s="67"/>
      <c r="C10" s="67"/>
      <c r="D10" s="67"/>
      <c r="E10" s="67"/>
      <c r="F10" s="67"/>
      <c r="G10" s="76" t="s">
        <v>540</v>
      </c>
      <c r="H10" s="117">
        <v>53.5</v>
      </c>
      <c r="I10" s="77" t="s">
        <v>10</v>
      </c>
      <c r="J10" s="67"/>
      <c r="K10" s="67"/>
      <c r="L10" s="67"/>
      <c r="M10" s="67"/>
      <c r="N10" s="67"/>
      <c r="O10" s="67"/>
      <c r="P10" s="67"/>
      <c r="Q10" s="67"/>
      <c r="R10" s="67"/>
      <c r="S10" s="67"/>
      <c r="T10" s="67"/>
      <c r="U10" s="67"/>
      <c r="V10" s="67"/>
      <c r="W10" s="67"/>
      <c r="X10" s="67"/>
      <c r="Y10" s="67"/>
      <c r="Z10" s="67"/>
      <c r="AA10" s="56"/>
    </row>
    <row r="11" spans="1:27" x14ac:dyDescent="0.25">
      <c r="A11" s="75"/>
      <c r="B11" s="67"/>
      <c r="C11" s="67"/>
      <c r="D11" s="67"/>
      <c r="E11" s="67"/>
      <c r="F11" s="67"/>
      <c r="G11" s="76" t="s">
        <v>7</v>
      </c>
      <c r="H11" s="117">
        <v>6</v>
      </c>
      <c r="I11" s="77" t="s">
        <v>11</v>
      </c>
      <c r="J11" s="67"/>
      <c r="K11" s="67"/>
      <c r="L11" s="67"/>
      <c r="M11" s="67"/>
      <c r="N11" s="67"/>
      <c r="O11" s="67"/>
      <c r="P11" s="67"/>
      <c r="Q11" s="67"/>
      <c r="R11" s="67"/>
      <c r="S11" s="67"/>
      <c r="T11" s="67"/>
      <c r="U11" s="67"/>
      <c r="V11" s="67"/>
      <c r="W11" s="67"/>
      <c r="X11" s="67"/>
      <c r="Y11" s="67"/>
      <c r="Z11" s="67"/>
      <c r="AA11" s="56"/>
    </row>
    <row r="12" spans="1:27" x14ac:dyDescent="0.25">
      <c r="A12" s="75"/>
      <c r="B12" s="67"/>
      <c r="C12" s="67"/>
      <c r="D12" s="67"/>
      <c r="E12" s="67"/>
      <c r="F12" s="67"/>
      <c r="G12" s="76" t="s">
        <v>8</v>
      </c>
      <c r="H12" s="117">
        <v>2200</v>
      </c>
      <c r="I12" s="77" t="s">
        <v>12</v>
      </c>
      <c r="J12" s="67"/>
      <c r="K12" s="67"/>
      <c r="L12" s="67"/>
      <c r="M12" s="67"/>
      <c r="N12" s="67"/>
      <c r="O12" s="67"/>
      <c r="P12" s="67"/>
      <c r="Q12" s="67"/>
      <c r="R12" s="67"/>
      <c r="S12" s="67"/>
      <c r="T12" s="67"/>
      <c r="U12" s="67"/>
      <c r="V12" s="67"/>
      <c r="W12" s="67"/>
      <c r="X12" s="67"/>
      <c r="Y12" s="67"/>
      <c r="Z12" s="67"/>
      <c r="AA12" s="56"/>
    </row>
    <row r="13" spans="1:27" x14ac:dyDescent="0.25">
      <c r="A13" s="75"/>
      <c r="B13" s="67"/>
      <c r="C13" s="67"/>
      <c r="D13" s="67"/>
      <c r="E13" s="67"/>
      <c r="F13" s="67"/>
      <c r="G13" s="76" t="s">
        <v>75</v>
      </c>
      <c r="H13" s="118">
        <f>RT/1000</f>
        <v>9.0904545454545467</v>
      </c>
      <c r="I13" s="77" t="s">
        <v>76</v>
      </c>
      <c r="J13" s="67"/>
      <c r="K13" s="67"/>
      <c r="L13" s="67"/>
      <c r="M13" s="67"/>
      <c r="N13" s="67"/>
      <c r="O13" s="67"/>
      <c r="P13" s="67"/>
      <c r="Q13" s="67"/>
      <c r="R13" s="67"/>
      <c r="S13" s="67"/>
      <c r="T13" s="67"/>
      <c r="U13" s="67"/>
      <c r="V13" s="67"/>
      <c r="W13" s="67"/>
      <c r="X13" s="67"/>
      <c r="Y13" s="67"/>
      <c r="Z13" s="67"/>
      <c r="AA13" s="56"/>
    </row>
    <row r="14" spans="1:27" x14ac:dyDescent="0.25">
      <c r="A14" s="75"/>
      <c r="B14" s="67"/>
      <c r="C14" s="67"/>
      <c r="D14" s="67"/>
      <c r="E14" s="67"/>
      <c r="F14" s="67"/>
      <c r="G14" s="76" t="s">
        <v>9</v>
      </c>
      <c r="H14" s="117">
        <v>90</v>
      </c>
      <c r="I14" s="77" t="s">
        <v>13</v>
      </c>
      <c r="J14" s="67"/>
      <c r="K14" s="67"/>
      <c r="L14" s="67"/>
      <c r="M14" s="67"/>
      <c r="N14" s="67"/>
      <c r="O14" s="67"/>
      <c r="P14" s="67"/>
      <c r="Q14" s="67"/>
      <c r="R14" s="67"/>
      <c r="S14" s="67"/>
      <c r="T14" s="67"/>
      <c r="U14" s="67"/>
      <c r="V14" s="67"/>
      <c r="W14" s="67"/>
      <c r="X14" s="67"/>
      <c r="Y14" s="67"/>
      <c r="Z14" s="67"/>
      <c r="AA14" s="56"/>
    </row>
    <row r="15" spans="1:27" x14ac:dyDescent="0.25">
      <c r="A15" s="75"/>
      <c r="B15" s="67"/>
      <c r="C15" s="67"/>
      <c r="D15" s="67"/>
      <c r="E15" s="67"/>
      <c r="F15" s="67"/>
      <c r="G15" s="76" t="s">
        <v>14</v>
      </c>
      <c r="H15" s="119">
        <f>POUT</f>
        <v>321</v>
      </c>
      <c r="I15" s="77" t="s">
        <v>38</v>
      </c>
      <c r="J15" s="67"/>
      <c r="K15" s="67"/>
      <c r="L15" s="67"/>
      <c r="M15" s="67"/>
      <c r="N15" s="67"/>
      <c r="O15" s="67"/>
      <c r="P15" s="67"/>
      <c r="Q15" s="67"/>
      <c r="R15" s="67"/>
      <c r="S15" s="67"/>
      <c r="T15" s="67"/>
      <c r="U15" s="67"/>
      <c r="V15" s="67"/>
      <c r="W15" s="67"/>
      <c r="X15" s="67"/>
      <c r="Y15" s="67"/>
      <c r="Z15" s="67"/>
      <c r="AA15" s="56"/>
    </row>
    <row r="16" spans="1:27" x14ac:dyDescent="0.25">
      <c r="A16" s="78"/>
      <c r="B16" s="79"/>
      <c r="C16" s="79"/>
      <c r="D16" s="79"/>
      <c r="E16" s="79"/>
      <c r="F16" s="67"/>
      <c r="G16" s="80" t="s">
        <v>486</v>
      </c>
      <c r="H16" s="119">
        <f>Dc_max_IC*100</f>
        <v>85</v>
      </c>
      <c r="I16" s="77" t="s">
        <v>13</v>
      </c>
      <c r="J16" s="67"/>
      <c r="K16" s="67"/>
      <c r="L16" s="67"/>
      <c r="M16" s="67"/>
      <c r="N16" s="67"/>
      <c r="O16" s="67"/>
      <c r="P16" s="67"/>
      <c r="Q16" s="67"/>
      <c r="R16" s="67"/>
      <c r="S16" s="67"/>
      <c r="T16" s="67"/>
      <c r="U16" s="67"/>
      <c r="V16" s="67"/>
      <c r="W16" s="67"/>
      <c r="X16" s="67"/>
      <c r="Y16" s="67"/>
      <c r="Z16" s="67"/>
      <c r="AA16" s="56"/>
    </row>
    <row r="17" spans="1:27" ht="15.75" thickBot="1" x14ac:dyDescent="0.3">
      <c r="A17" s="78"/>
      <c r="B17" s="79"/>
      <c r="C17" s="79"/>
      <c r="D17" s="79"/>
      <c r="E17" s="79"/>
      <c r="F17" s="67"/>
      <c r="G17" s="80" t="s">
        <v>518</v>
      </c>
      <c r="H17" s="142">
        <f>Variable_Management!B39*100</f>
        <v>79.43925233644859</v>
      </c>
      <c r="I17" s="77" t="s">
        <v>13</v>
      </c>
      <c r="J17" s="67"/>
      <c r="K17" s="67"/>
      <c r="L17" s="67"/>
      <c r="M17" s="67"/>
      <c r="N17" s="67"/>
      <c r="O17" s="67"/>
      <c r="P17" s="67"/>
      <c r="Q17" s="67"/>
      <c r="R17" s="67"/>
      <c r="S17" s="67"/>
      <c r="T17" s="67"/>
      <c r="U17" s="67"/>
      <c r="V17" s="67"/>
      <c r="W17" s="67"/>
      <c r="X17" s="67"/>
      <c r="Y17" s="67"/>
      <c r="Z17" s="67"/>
      <c r="AA17" s="56"/>
    </row>
    <row r="18" spans="1:27" ht="15.75" thickBot="1" x14ac:dyDescent="0.3">
      <c r="A18" s="81"/>
      <c r="B18" s="82"/>
      <c r="C18" s="82"/>
      <c r="D18" s="82"/>
      <c r="E18" s="82"/>
      <c r="F18" s="83"/>
      <c r="G18" s="84" t="s">
        <v>522</v>
      </c>
      <c r="H18" s="138" t="s">
        <v>495</v>
      </c>
      <c r="I18" s="85"/>
      <c r="J18" s="67"/>
      <c r="K18" s="67"/>
      <c r="L18" s="67"/>
      <c r="M18" s="67"/>
      <c r="N18" s="67"/>
      <c r="O18" s="67"/>
      <c r="P18" s="67"/>
      <c r="Q18" s="67"/>
      <c r="R18" s="67"/>
      <c r="S18" s="67"/>
      <c r="T18" s="67"/>
      <c r="U18" s="67"/>
      <c r="V18" s="67"/>
      <c r="W18" s="67"/>
      <c r="X18" s="67"/>
      <c r="Y18" s="67"/>
      <c r="Z18" s="67"/>
      <c r="AA18" s="56"/>
    </row>
    <row r="19" spans="1:27" x14ac:dyDescent="0.25">
      <c r="A19" s="79"/>
      <c r="B19" s="79"/>
      <c r="C19" s="79"/>
      <c r="D19" s="79"/>
      <c r="E19" s="79"/>
      <c r="F19" s="67"/>
      <c r="G19" s="68"/>
      <c r="H19" s="67"/>
      <c r="I19" s="67"/>
      <c r="J19" s="67"/>
      <c r="K19" s="67"/>
      <c r="L19" s="67"/>
      <c r="M19" s="67"/>
      <c r="N19" s="67"/>
      <c r="O19" s="67"/>
      <c r="P19" s="67"/>
      <c r="Q19" s="67"/>
      <c r="R19" s="67"/>
      <c r="S19" s="67"/>
      <c r="T19" s="67"/>
      <c r="U19" s="67"/>
      <c r="V19" s="67"/>
      <c r="W19" s="67"/>
      <c r="X19" s="67"/>
      <c r="Y19" s="67"/>
      <c r="Z19" s="67"/>
      <c r="AA19" s="56"/>
    </row>
    <row r="20" spans="1:27" ht="15.75" thickBot="1" x14ac:dyDescent="0.3">
      <c r="A20" s="70" t="s">
        <v>77</v>
      </c>
      <c r="B20" s="79"/>
      <c r="C20" s="79"/>
      <c r="D20" s="79"/>
      <c r="E20" s="79"/>
      <c r="F20" s="67"/>
      <c r="G20" s="68"/>
      <c r="H20" s="67"/>
      <c r="I20" s="67"/>
      <c r="J20" s="67"/>
      <c r="K20" s="67"/>
      <c r="L20" s="67"/>
      <c r="M20" s="67"/>
      <c r="N20" s="67"/>
      <c r="O20" s="67"/>
      <c r="P20" s="67"/>
      <c r="Q20" s="67"/>
      <c r="R20" s="67"/>
      <c r="S20" s="67"/>
      <c r="T20" s="67"/>
      <c r="U20" s="67"/>
      <c r="V20" s="67"/>
      <c r="W20" s="67"/>
      <c r="X20" s="67"/>
      <c r="Y20" s="67"/>
      <c r="Z20" s="67"/>
      <c r="AA20" s="56"/>
    </row>
    <row r="21" spans="1:27" x14ac:dyDescent="0.25">
      <c r="A21" s="86"/>
      <c r="B21" s="87"/>
      <c r="C21" s="87"/>
      <c r="D21" s="87"/>
      <c r="E21" s="87"/>
      <c r="F21" s="72"/>
      <c r="G21" s="73" t="s">
        <v>487</v>
      </c>
      <c r="H21" s="116">
        <v>60</v>
      </c>
      <c r="I21" s="74" t="s">
        <v>13</v>
      </c>
      <c r="J21" s="67"/>
      <c r="K21" s="67"/>
      <c r="L21" s="67"/>
      <c r="M21" s="67"/>
      <c r="N21" s="67"/>
      <c r="O21" s="67"/>
      <c r="P21" s="67"/>
      <c r="Q21" s="67"/>
      <c r="R21" s="67"/>
      <c r="S21" s="67"/>
      <c r="T21" s="67"/>
      <c r="U21" s="67"/>
      <c r="V21" s="67"/>
      <c r="W21" s="67"/>
      <c r="X21" s="67"/>
      <c r="Y21" s="67"/>
      <c r="Z21" s="67"/>
      <c r="AA21" s="56"/>
    </row>
    <row r="22" spans="1:27" x14ac:dyDescent="0.25">
      <c r="A22" s="75"/>
      <c r="B22" s="67"/>
      <c r="C22" s="67"/>
      <c r="D22" s="67"/>
      <c r="E22" s="67"/>
      <c r="F22" s="67"/>
      <c r="G22" s="76" t="s">
        <v>459</v>
      </c>
      <c r="H22" s="120">
        <f>IF(H18="CCM",Lopt_2*10^6,L_DCM*10^6)</f>
        <v>0.37694704049844252</v>
      </c>
      <c r="I22" s="77" t="s">
        <v>542</v>
      </c>
      <c r="J22" s="67"/>
      <c r="K22" s="67"/>
      <c r="L22" s="67"/>
      <c r="M22" s="67"/>
      <c r="N22" s="67"/>
      <c r="O22" s="67"/>
      <c r="P22" s="67"/>
      <c r="Q22" s="67"/>
      <c r="R22" s="67"/>
      <c r="S22" s="67"/>
      <c r="T22" s="67"/>
      <c r="U22" s="67"/>
      <c r="V22" s="67"/>
      <c r="W22" s="67"/>
      <c r="X22" s="67"/>
      <c r="Y22" s="67"/>
      <c r="Z22" s="67"/>
      <c r="AA22" s="56"/>
    </row>
    <row r="23" spans="1:27" x14ac:dyDescent="0.25">
      <c r="A23" s="75"/>
      <c r="B23" s="67"/>
      <c r="C23" s="67"/>
      <c r="D23" s="67"/>
      <c r="E23" s="67"/>
      <c r="F23" s="67"/>
      <c r="G23" s="76" t="s">
        <v>460</v>
      </c>
      <c r="H23" s="117">
        <v>0.36</v>
      </c>
      <c r="I23" s="77" t="s">
        <v>542</v>
      </c>
      <c r="J23" s="67"/>
      <c r="K23" s="67"/>
      <c r="L23" s="67"/>
      <c r="M23" s="67"/>
      <c r="N23" s="67"/>
      <c r="O23" s="67"/>
      <c r="P23" s="67"/>
      <c r="Q23" s="67"/>
      <c r="R23" s="67"/>
      <c r="S23" s="67"/>
      <c r="T23" s="67"/>
      <c r="U23" s="67"/>
      <c r="V23" s="67"/>
      <c r="W23" s="67"/>
      <c r="X23" s="67"/>
      <c r="Y23" s="67"/>
      <c r="Z23" s="67"/>
      <c r="AA23" s="56"/>
    </row>
    <row r="24" spans="1:27" x14ac:dyDescent="0.25">
      <c r="A24" s="75"/>
      <c r="B24" s="67"/>
      <c r="C24" s="67"/>
      <c r="D24" s="67"/>
      <c r="E24" s="67"/>
      <c r="F24" s="67"/>
      <c r="G24" s="76" t="s">
        <v>81</v>
      </c>
      <c r="H24" s="117">
        <v>2</v>
      </c>
      <c r="I24" s="77" t="s">
        <v>105</v>
      </c>
      <c r="J24" s="67"/>
      <c r="K24" s="67"/>
      <c r="L24" s="67"/>
      <c r="M24" s="67"/>
      <c r="N24" s="67"/>
      <c r="O24" s="67"/>
      <c r="P24" s="67"/>
      <c r="Q24" s="67"/>
      <c r="R24" s="67"/>
      <c r="S24" s="67"/>
      <c r="T24" s="67"/>
      <c r="U24" s="67"/>
      <c r="V24" s="67"/>
      <c r="W24" s="67"/>
      <c r="X24" s="67"/>
      <c r="Y24" s="67"/>
      <c r="Z24" s="67"/>
      <c r="AA24" s="56"/>
    </row>
    <row r="25" spans="1:27" ht="15.75" thickBot="1" x14ac:dyDescent="0.3">
      <c r="A25" s="88"/>
      <c r="B25" s="83"/>
      <c r="C25" s="83"/>
      <c r="D25" s="83"/>
      <c r="E25" s="83"/>
      <c r="F25" s="83"/>
      <c r="G25" s="89" t="s">
        <v>106</v>
      </c>
      <c r="H25" s="121">
        <f>ILp_VINmin</f>
        <v>37.94085716982913</v>
      </c>
      <c r="I25" s="85" t="s">
        <v>11</v>
      </c>
      <c r="J25" s="67"/>
      <c r="K25" s="67"/>
      <c r="L25" s="67"/>
      <c r="M25" s="67"/>
      <c r="N25" s="67"/>
      <c r="O25" s="67"/>
      <c r="P25" s="67"/>
      <c r="Q25" s="67"/>
      <c r="R25" s="67"/>
      <c r="S25" s="67"/>
      <c r="T25" s="67"/>
      <c r="U25" s="67"/>
      <c r="V25" s="67"/>
      <c r="W25" s="67"/>
      <c r="X25" s="67"/>
      <c r="Y25" s="67"/>
      <c r="Z25" s="67"/>
      <c r="AA25" s="56"/>
    </row>
    <row r="26" spans="1:27" x14ac:dyDescent="0.25">
      <c r="A26" s="67"/>
      <c r="B26" s="67"/>
      <c r="C26" s="67"/>
      <c r="D26" s="67"/>
      <c r="E26" s="67"/>
      <c r="F26" s="67"/>
      <c r="G26" s="68"/>
      <c r="H26" s="67"/>
      <c r="I26" s="67"/>
      <c r="J26" s="67"/>
      <c r="K26" s="67"/>
      <c r="L26" s="67"/>
      <c r="M26" s="67"/>
      <c r="N26" s="67"/>
      <c r="O26" s="67"/>
      <c r="P26" s="67"/>
      <c r="Q26" s="67"/>
      <c r="R26" s="67"/>
      <c r="S26" s="67"/>
      <c r="T26" s="67"/>
      <c r="U26" s="67"/>
      <c r="V26" s="67"/>
      <c r="W26" s="67"/>
      <c r="X26" s="67"/>
      <c r="Y26" s="67"/>
      <c r="Z26" s="67"/>
      <c r="AA26" s="56"/>
    </row>
    <row r="27" spans="1:27" ht="15.75" thickBot="1" x14ac:dyDescent="0.3">
      <c r="A27" s="70" t="s">
        <v>127</v>
      </c>
      <c r="B27" s="67"/>
      <c r="C27" s="67"/>
      <c r="D27" s="67"/>
      <c r="E27" s="67"/>
      <c r="F27" s="67"/>
      <c r="G27" s="68"/>
      <c r="H27" s="67"/>
      <c r="I27" s="67"/>
      <c r="J27" s="67"/>
      <c r="K27" s="67"/>
      <c r="L27" s="67"/>
      <c r="M27" s="67"/>
      <c r="N27" s="67"/>
      <c r="O27" s="67"/>
      <c r="P27" s="67"/>
      <c r="Q27" s="67"/>
      <c r="R27" s="67"/>
      <c r="S27" s="67"/>
      <c r="T27" s="67"/>
      <c r="U27" s="67"/>
      <c r="V27" s="67"/>
      <c r="W27" s="67"/>
      <c r="X27" s="67"/>
      <c r="Y27" s="67"/>
      <c r="Z27" s="67"/>
      <c r="AA27" s="56"/>
    </row>
    <row r="28" spans="1:27" x14ac:dyDescent="0.25">
      <c r="A28" s="71"/>
      <c r="B28" s="72"/>
      <c r="C28" s="72"/>
      <c r="D28" s="72"/>
      <c r="E28" s="72"/>
      <c r="F28" s="72"/>
      <c r="G28" s="73" t="s">
        <v>488</v>
      </c>
      <c r="H28" s="116">
        <v>40</v>
      </c>
      <c r="I28" s="74" t="s">
        <v>13</v>
      </c>
      <c r="J28" s="67"/>
      <c r="K28" s="67"/>
      <c r="L28" s="67"/>
      <c r="M28" s="67"/>
      <c r="N28" s="67"/>
      <c r="O28" s="67"/>
      <c r="P28" s="67"/>
      <c r="Q28" s="67"/>
      <c r="R28" s="67"/>
      <c r="S28" s="67"/>
      <c r="T28" s="67"/>
      <c r="U28" s="67"/>
      <c r="V28" s="67"/>
      <c r="W28" s="67"/>
      <c r="X28" s="67"/>
      <c r="Y28" s="67"/>
      <c r="Z28" s="67"/>
      <c r="AA28" s="56"/>
    </row>
    <row r="29" spans="1:27" ht="18" x14ac:dyDescent="0.35">
      <c r="A29" s="75"/>
      <c r="B29" s="67"/>
      <c r="C29" s="67"/>
      <c r="D29" s="67"/>
      <c r="E29" s="67"/>
      <c r="F29" s="67"/>
      <c r="G29" s="68" t="s">
        <v>203</v>
      </c>
      <c r="H29" s="118">
        <f>Ipk_selected</f>
        <v>53.117200037760782</v>
      </c>
      <c r="I29" s="77" t="s">
        <v>11</v>
      </c>
      <c r="J29" s="67"/>
      <c r="K29" s="67"/>
      <c r="L29" s="67"/>
      <c r="M29" s="67"/>
      <c r="N29" s="67"/>
      <c r="O29" s="67"/>
      <c r="P29" s="67"/>
      <c r="Q29" s="67"/>
      <c r="R29" s="67"/>
      <c r="S29" s="67"/>
      <c r="T29" s="67"/>
      <c r="U29" s="67"/>
      <c r="V29" s="67"/>
      <c r="W29" s="67"/>
      <c r="X29" s="67"/>
      <c r="Y29" s="67"/>
      <c r="Z29" s="67"/>
      <c r="AA29" s="56"/>
    </row>
    <row r="30" spans="1:27" ht="18" x14ac:dyDescent="0.35">
      <c r="A30" s="75"/>
      <c r="B30" s="67"/>
      <c r="C30" s="67"/>
      <c r="D30" s="67"/>
      <c r="E30" s="67"/>
      <c r="F30" s="67"/>
      <c r="G30" s="68" t="s">
        <v>493</v>
      </c>
      <c r="H30" s="118">
        <f>Variable_Management!B135*1000</f>
        <v>1.4867735918807301</v>
      </c>
      <c r="I30" s="77" t="s">
        <v>105</v>
      </c>
      <c r="J30" s="67"/>
      <c r="K30" s="67"/>
      <c r="L30" s="67"/>
      <c r="M30" s="67"/>
      <c r="N30" s="67"/>
      <c r="O30" s="67"/>
      <c r="P30" s="67"/>
      <c r="Q30" s="67"/>
      <c r="R30" s="67"/>
      <c r="S30" s="67"/>
      <c r="T30" s="67"/>
      <c r="U30" s="67"/>
      <c r="V30" s="67"/>
      <c r="W30" s="67"/>
      <c r="X30" s="67"/>
      <c r="Y30" s="67"/>
      <c r="Z30" s="67"/>
      <c r="AA30" s="56"/>
    </row>
    <row r="31" spans="1:27" ht="18" x14ac:dyDescent="0.35">
      <c r="A31" s="75"/>
      <c r="B31" s="67"/>
      <c r="C31" s="67"/>
      <c r="D31" s="67"/>
      <c r="E31" s="67"/>
      <c r="F31" s="67"/>
      <c r="G31" s="68" t="s">
        <v>166</v>
      </c>
      <c r="H31" s="122">
        <f>Variable_Management!B136</f>
        <v>882.29890936689981</v>
      </c>
      <c r="I31" s="90" t="s">
        <v>36</v>
      </c>
      <c r="J31" s="67"/>
      <c r="K31" s="67"/>
      <c r="L31" s="67"/>
      <c r="M31" s="67"/>
      <c r="N31" s="67"/>
      <c r="O31" s="67"/>
      <c r="P31" s="67"/>
      <c r="Q31" s="67"/>
      <c r="R31" s="67"/>
      <c r="S31" s="67"/>
      <c r="T31" s="67"/>
      <c r="U31" s="67"/>
      <c r="V31" s="67"/>
      <c r="W31" s="67"/>
      <c r="X31" s="67"/>
      <c r="Y31" s="67"/>
      <c r="Z31" s="67"/>
      <c r="AA31" s="56"/>
    </row>
    <row r="32" spans="1:27" ht="18" x14ac:dyDescent="0.35">
      <c r="A32" s="75"/>
      <c r="B32" s="67"/>
      <c r="C32" s="67"/>
      <c r="D32" s="67"/>
      <c r="E32" s="67"/>
      <c r="F32" s="67"/>
      <c r="G32" s="68" t="s">
        <v>494</v>
      </c>
      <c r="H32" s="117">
        <v>1.5</v>
      </c>
      <c r="I32" s="77" t="s">
        <v>105</v>
      </c>
      <c r="J32" s="67"/>
      <c r="K32" s="67"/>
      <c r="L32" s="67"/>
      <c r="M32" s="67"/>
      <c r="N32" s="67"/>
      <c r="O32" s="67"/>
      <c r="P32" s="67"/>
      <c r="Q32" s="67"/>
      <c r="R32" s="67"/>
      <c r="S32" s="67"/>
      <c r="T32" s="67"/>
      <c r="U32" s="67"/>
      <c r="V32" s="67"/>
      <c r="W32" s="67"/>
      <c r="X32" s="67"/>
      <c r="Y32" s="67"/>
      <c r="Z32" s="67"/>
      <c r="AA32" s="56"/>
    </row>
    <row r="33" spans="1:27" ht="18" x14ac:dyDescent="0.35">
      <c r="A33" s="75"/>
      <c r="B33" s="67"/>
      <c r="C33" s="67"/>
      <c r="D33" s="67"/>
      <c r="E33" s="67"/>
      <c r="F33" s="67"/>
      <c r="G33" s="68" t="s">
        <v>169</v>
      </c>
      <c r="H33" s="117">
        <v>887</v>
      </c>
      <c r="I33" s="90" t="s">
        <v>36</v>
      </c>
      <c r="J33" s="67"/>
      <c r="K33" s="67"/>
      <c r="L33" s="67"/>
      <c r="M33" s="67"/>
      <c r="N33" s="67"/>
      <c r="O33" s="67"/>
      <c r="P33" s="67"/>
      <c r="Q33" s="67"/>
      <c r="R33" s="67"/>
      <c r="S33" s="67"/>
      <c r="T33" s="67"/>
      <c r="U33" s="67"/>
      <c r="V33" s="67"/>
      <c r="W33" s="67"/>
      <c r="X33" s="67"/>
      <c r="Y33" s="67"/>
      <c r="Z33" s="67"/>
      <c r="AA33" s="56"/>
    </row>
    <row r="34" spans="1:27" x14ac:dyDescent="0.25">
      <c r="A34" s="75"/>
      <c r="B34" s="67"/>
      <c r="C34" s="67"/>
      <c r="D34" s="67"/>
      <c r="E34" s="67"/>
      <c r="F34" s="67"/>
      <c r="G34" s="68" t="s">
        <v>173</v>
      </c>
      <c r="H34" s="118">
        <f>IL_pk_max</f>
        <v>56.221619937694712</v>
      </c>
      <c r="I34" s="90" t="s">
        <v>11</v>
      </c>
      <c r="J34" s="67"/>
      <c r="K34" s="67"/>
      <c r="L34" s="67"/>
      <c r="M34" s="67"/>
      <c r="N34" s="67"/>
      <c r="O34" s="67"/>
      <c r="P34" s="67"/>
      <c r="Q34" s="67"/>
      <c r="R34" s="67"/>
      <c r="S34" s="67"/>
      <c r="T34" s="67"/>
      <c r="U34" s="67"/>
      <c r="V34" s="67"/>
      <c r="W34" s="67"/>
      <c r="X34" s="67"/>
      <c r="Y34" s="67"/>
      <c r="Z34" s="67"/>
      <c r="AA34" s="56"/>
    </row>
    <row r="35" spans="1:27" ht="15.75" thickBot="1" x14ac:dyDescent="0.3">
      <c r="A35" s="88"/>
      <c r="B35" s="83"/>
      <c r="C35" s="83"/>
      <c r="D35" s="83"/>
      <c r="E35" s="83"/>
      <c r="F35" s="83"/>
      <c r="G35" s="91" t="s">
        <v>191</v>
      </c>
      <c r="H35" s="123">
        <f>Variable_Management!B145</f>
        <v>64.654862928348919</v>
      </c>
      <c r="I35" s="92" t="s">
        <v>11</v>
      </c>
      <c r="J35" s="67"/>
      <c r="K35" s="67"/>
      <c r="L35" s="67"/>
      <c r="M35" s="67"/>
      <c r="N35" s="67"/>
      <c r="O35" s="67"/>
      <c r="P35" s="67"/>
      <c r="Q35" s="67"/>
      <c r="R35" s="67"/>
      <c r="S35" s="67"/>
      <c r="T35" s="67"/>
      <c r="U35" s="67"/>
      <c r="V35" s="67"/>
      <c r="W35" s="67"/>
      <c r="X35" s="67"/>
      <c r="Y35" s="67"/>
      <c r="Z35" s="67"/>
      <c r="AA35" s="56"/>
    </row>
    <row r="36" spans="1:27" x14ac:dyDescent="0.25">
      <c r="A36" s="67"/>
      <c r="B36" s="67"/>
      <c r="C36" s="67"/>
      <c r="D36" s="67"/>
      <c r="E36" s="67"/>
      <c r="F36" s="67"/>
      <c r="G36" s="68"/>
      <c r="H36" s="67"/>
      <c r="I36" s="67"/>
      <c r="J36" s="67"/>
      <c r="K36" s="67"/>
      <c r="L36" s="67"/>
      <c r="M36" s="67"/>
      <c r="N36" s="67"/>
      <c r="O36" s="67"/>
      <c r="P36" s="67"/>
      <c r="Q36" s="67"/>
      <c r="R36" s="67"/>
      <c r="S36" s="67"/>
      <c r="T36" s="67"/>
      <c r="U36" s="67"/>
      <c r="V36" s="67"/>
      <c r="W36" s="67"/>
      <c r="X36" s="67"/>
      <c r="Y36" s="67"/>
      <c r="Z36" s="67"/>
      <c r="AA36" s="56"/>
    </row>
    <row r="37" spans="1:27" ht="15.75" thickBot="1" x14ac:dyDescent="0.3">
      <c r="A37" s="70" t="s">
        <v>185</v>
      </c>
      <c r="B37" s="67"/>
      <c r="C37" s="67"/>
      <c r="D37" s="67"/>
      <c r="E37" s="67"/>
      <c r="F37" s="67"/>
      <c r="G37" s="68"/>
      <c r="H37" s="67"/>
      <c r="I37" s="67"/>
      <c r="J37" s="67"/>
      <c r="K37" s="67"/>
      <c r="L37" s="67"/>
      <c r="M37" s="67"/>
      <c r="N37" s="67"/>
      <c r="O37" s="67"/>
      <c r="P37" s="67"/>
      <c r="Q37" s="67"/>
      <c r="R37" s="67"/>
      <c r="S37" s="67"/>
      <c r="T37" s="67"/>
      <c r="U37" s="67"/>
      <c r="V37" s="67"/>
      <c r="W37" s="67"/>
      <c r="X37" s="67"/>
      <c r="Y37" s="67"/>
      <c r="Z37" s="67"/>
      <c r="AA37" s="56"/>
    </row>
    <row r="38" spans="1:27" ht="18" x14ac:dyDescent="0.35">
      <c r="A38" s="71"/>
      <c r="B38" s="72"/>
      <c r="C38" s="72"/>
      <c r="D38" s="72"/>
      <c r="E38" s="72"/>
      <c r="F38" s="72"/>
      <c r="G38" s="93" t="s">
        <v>541</v>
      </c>
      <c r="H38" s="116">
        <v>20</v>
      </c>
      <c r="I38" s="74" t="s">
        <v>186</v>
      </c>
      <c r="J38" s="67"/>
      <c r="K38" s="67"/>
      <c r="L38" s="67"/>
      <c r="M38" s="67"/>
      <c r="N38" s="67"/>
      <c r="O38" s="67"/>
      <c r="P38" s="67"/>
      <c r="Q38" s="67"/>
      <c r="R38" s="67"/>
      <c r="S38" s="67"/>
      <c r="T38" s="67"/>
      <c r="U38" s="67"/>
      <c r="V38" s="67"/>
      <c r="W38" s="67"/>
      <c r="X38" s="67"/>
      <c r="Y38" s="67"/>
      <c r="Z38" s="67"/>
      <c r="AA38" s="56"/>
    </row>
    <row r="39" spans="1:27" x14ac:dyDescent="0.25">
      <c r="A39" s="75"/>
      <c r="B39" s="67"/>
      <c r="C39" s="67"/>
      <c r="D39" s="67"/>
      <c r="E39" s="67"/>
      <c r="F39" s="67"/>
      <c r="G39" s="68" t="s">
        <v>187</v>
      </c>
      <c r="H39" s="143">
        <f>Cout_min*10^6</f>
        <v>108.32625318606627</v>
      </c>
      <c r="I39" s="77" t="s">
        <v>543</v>
      </c>
      <c r="J39" s="67"/>
      <c r="K39" s="67"/>
      <c r="L39" s="67"/>
      <c r="M39" s="67"/>
      <c r="N39" s="67"/>
      <c r="O39" s="67"/>
      <c r="P39" s="67"/>
      <c r="Q39" s="67"/>
      <c r="R39" s="67"/>
      <c r="S39" s="67"/>
      <c r="T39" s="67"/>
      <c r="U39" s="67"/>
      <c r="V39" s="67"/>
      <c r="W39" s="67"/>
      <c r="X39" s="67"/>
      <c r="Y39" s="67"/>
      <c r="Z39" s="67"/>
      <c r="AA39" s="56"/>
    </row>
    <row r="40" spans="1:27" ht="18" x14ac:dyDescent="0.35">
      <c r="A40" s="75"/>
      <c r="B40" s="67"/>
      <c r="C40" s="67"/>
      <c r="D40" s="67"/>
      <c r="E40" s="67"/>
      <c r="F40" s="67"/>
      <c r="G40" s="68" t="s">
        <v>195</v>
      </c>
      <c r="H40" s="118">
        <f>IRMS_COUT</f>
        <v>12.142237137055549</v>
      </c>
      <c r="I40" s="77" t="s">
        <v>11</v>
      </c>
      <c r="J40" s="67"/>
      <c r="K40" s="67"/>
      <c r="L40" s="67"/>
      <c r="M40" s="67"/>
      <c r="N40" s="67"/>
      <c r="O40" s="67"/>
      <c r="P40" s="67"/>
      <c r="Q40" s="67"/>
      <c r="R40" s="67"/>
      <c r="S40" s="67"/>
      <c r="T40" s="67"/>
      <c r="U40" s="67"/>
      <c r="V40" s="67"/>
      <c r="W40" s="67"/>
      <c r="X40" s="67"/>
      <c r="Y40" s="67"/>
      <c r="Z40" s="67"/>
      <c r="AA40" s="56"/>
    </row>
    <row r="41" spans="1:27" ht="18" x14ac:dyDescent="0.35">
      <c r="A41" s="75"/>
      <c r="B41" s="67"/>
      <c r="C41" s="67"/>
      <c r="D41" s="67"/>
      <c r="E41" s="67"/>
      <c r="F41" s="67"/>
      <c r="G41" s="68" t="s">
        <v>188</v>
      </c>
      <c r="H41" s="117">
        <v>200</v>
      </c>
      <c r="I41" s="77" t="s">
        <v>543</v>
      </c>
      <c r="J41" s="67"/>
      <c r="K41" s="67"/>
      <c r="L41" s="67"/>
      <c r="M41" s="67"/>
      <c r="N41" s="67"/>
      <c r="O41" s="67"/>
      <c r="P41" s="67"/>
      <c r="Q41" s="67"/>
      <c r="R41" s="67"/>
      <c r="S41" s="67"/>
      <c r="T41" s="67"/>
      <c r="U41" s="67"/>
      <c r="V41" s="67"/>
      <c r="W41" s="67"/>
      <c r="X41" s="67"/>
      <c r="Y41" s="67"/>
      <c r="Z41" s="67"/>
      <c r="AA41" s="56"/>
    </row>
    <row r="42" spans="1:27" ht="18.75" thickBot="1" x14ac:dyDescent="0.4">
      <c r="A42" s="88"/>
      <c r="B42" s="83"/>
      <c r="C42" s="83"/>
      <c r="D42" s="83"/>
      <c r="E42" s="83"/>
      <c r="F42" s="83"/>
      <c r="G42" s="91" t="s">
        <v>198</v>
      </c>
      <c r="H42" s="124">
        <v>0.3</v>
      </c>
      <c r="I42" s="85" t="s">
        <v>105</v>
      </c>
      <c r="J42" s="67"/>
      <c r="K42" s="67"/>
      <c r="L42" s="67"/>
      <c r="M42" s="67"/>
      <c r="N42" s="67"/>
      <c r="O42" s="67"/>
      <c r="P42" s="67"/>
      <c r="Q42" s="67"/>
      <c r="R42" s="67"/>
      <c r="S42" s="67"/>
      <c r="T42" s="67"/>
      <c r="U42" s="67"/>
      <c r="V42" s="67"/>
      <c r="W42" s="67"/>
      <c r="X42" s="67"/>
      <c r="Y42" s="67"/>
      <c r="Z42" s="67"/>
      <c r="AA42" s="56"/>
    </row>
    <row r="43" spans="1:27" x14ac:dyDescent="0.25">
      <c r="A43" s="67"/>
      <c r="B43" s="67"/>
      <c r="C43" s="67"/>
      <c r="D43" s="67"/>
      <c r="E43" s="67"/>
      <c r="F43" s="67"/>
      <c r="G43" s="68"/>
      <c r="H43" s="67"/>
      <c r="I43" s="67"/>
      <c r="J43" s="67"/>
      <c r="K43" s="67"/>
      <c r="L43" s="67"/>
      <c r="M43" s="67"/>
      <c r="N43" s="67"/>
      <c r="O43" s="67"/>
      <c r="P43" s="67"/>
      <c r="Q43" s="67"/>
      <c r="R43" s="67"/>
      <c r="S43" s="67"/>
      <c r="T43" s="67"/>
      <c r="U43" s="67"/>
      <c r="V43" s="67"/>
      <c r="W43" s="67"/>
      <c r="X43" s="67"/>
      <c r="Y43" s="67"/>
      <c r="Z43" s="67"/>
      <c r="AA43" s="56"/>
    </row>
    <row r="44" spans="1:27" ht="15.75" thickBot="1" x14ac:dyDescent="0.3">
      <c r="A44" s="70" t="s">
        <v>319</v>
      </c>
      <c r="B44" s="67"/>
      <c r="C44" s="67"/>
      <c r="D44" s="67"/>
      <c r="E44" s="67"/>
      <c r="F44" s="67"/>
      <c r="G44" s="68"/>
      <c r="H44" s="67"/>
      <c r="I44" s="67"/>
      <c r="J44" s="67"/>
      <c r="K44" s="67"/>
      <c r="L44" s="67"/>
      <c r="M44" s="67"/>
      <c r="N44" s="67"/>
      <c r="O44" s="67"/>
      <c r="P44" s="67"/>
      <c r="Q44" s="67"/>
      <c r="R44" s="67"/>
      <c r="S44" s="67"/>
      <c r="T44" s="67"/>
      <c r="U44" s="67"/>
      <c r="V44" s="67"/>
      <c r="W44" s="67"/>
      <c r="X44" s="67"/>
      <c r="Y44" s="67"/>
      <c r="Z44" s="67"/>
      <c r="AA44" s="56"/>
    </row>
    <row r="45" spans="1:27" ht="18" x14ac:dyDescent="0.35">
      <c r="A45" s="71"/>
      <c r="B45" s="72"/>
      <c r="C45" s="72"/>
      <c r="D45" s="72"/>
      <c r="E45" s="72"/>
      <c r="F45" s="72"/>
      <c r="G45" s="93" t="s">
        <v>342</v>
      </c>
      <c r="H45" s="126">
        <f>Variable_Management!B161*(10^9)</f>
        <v>17.833333333333332</v>
      </c>
      <c r="I45" s="74" t="s">
        <v>218</v>
      </c>
      <c r="J45" s="67"/>
      <c r="K45" s="67"/>
      <c r="L45" s="67"/>
      <c r="M45" s="67"/>
      <c r="N45" s="67"/>
      <c r="O45" s="67"/>
      <c r="P45" s="67"/>
      <c r="Q45" s="67"/>
      <c r="R45" s="67"/>
      <c r="S45" s="67"/>
      <c r="T45" s="67"/>
      <c r="U45" s="67"/>
      <c r="V45" s="67"/>
      <c r="W45" s="67"/>
      <c r="X45" s="67"/>
      <c r="Y45" s="67"/>
      <c r="Z45" s="67"/>
      <c r="AA45" s="56"/>
    </row>
    <row r="46" spans="1:27" ht="18" x14ac:dyDescent="0.35">
      <c r="A46" s="75"/>
      <c r="B46" s="67"/>
      <c r="C46" s="67"/>
      <c r="D46" s="67"/>
      <c r="E46" s="67"/>
      <c r="F46" s="67"/>
      <c r="G46" s="68" t="s">
        <v>529</v>
      </c>
      <c r="H46" s="117">
        <v>20</v>
      </c>
      <c r="I46" s="77" t="s">
        <v>343</v>
      </c>
      <c r="J46" s="67"/>
      <c r="K46" s="67"/>
      <c r="L46" s="67"/>
      <c r="M46" s="67"/>
      <c r="N46" s="67"/>
      <c r="O46" s="67"/>
      <c r="P46" s="67"/>
      <c r="Q46" s="67"/>
      <c r="R46" s="67"/>
      <c r="S46" s="67"/>
      <c r="T46" s="67"/>
      <c r="U46" s="67"/>
      <c r="V46" s="67"/>
      <c r="W46" s="67"/>
      <c r="X46" s="67"/>
      <c r="Y46" s="67"/>
      <c r="Z46" s="67"/>
      <c r="AA46" s="56"/>
    </row>
    <row r="47" spans="1:27" ht="18.75" thickBot="1" x14ac:dyDescent="0.4">
      <c r="A47" s="88"/>
      <c r="B47" s="83"/>
      <c r="C47" s="83"/>
      <c r="D47" s="83"/>
      <c r="E47" s="83"/>
      <c r="F47" s="83"/>
      <c r="G47" s="91" t="s">
        <v>346</v>
      </c>
      <c r="H47" s="127">
        <f>Variable_Management!B163*(10^9)</f>
        <v>251.76470588235296</v>
      </c>
      <c r="I47" s="85" t="s">
        <v>218</v>
      </c>
      <c r="J47" s="67"/>
      <c r="K47" s="67"/>
      <c r="L47" s="67"/>
      <c r="M47" s="67"/>
      <c r="N47" s="67"/>
      <c r="O47" s="67"/>
      <c r="P47" s="67"/>
      <c r="Q47" s="67"/>
      <c r="R47" s="67"/>
      <c r="S47" s="67"/>
      <c r="T47" s="67"/>
      <c r="U47" s="67"/>
      <c r="V47" s="67"/>
      <c r="W47" s="67"/>
      <c r="X47" s="67"/>
      <c r="Y47" s="67"/>
      <c r="Z47" s="67"/>
      <c r="AA47" s="56"/>
    </row>
    <row r="48" spans="1:27" x14ac:dyDescent="0.25">
      <c r="A48" s="67"/>
      <c r="B48" s="67"/>
      <c r="C48" s="67"/>
      <c r="D48" s="67"/>
      <c r="E48" s="67"/>
      <c r="F48" s="67"/>
      <c r="G48" s="68"/>
      <c r="H48" s="67"/>
      <c r="I48" s="67"/>
      <c r="J48" s="67"/>
      <c r="K48" s="67"/>
      <c r="L48" s="67"/>
      <c r="M48" s="67"/>
      <c r="N48" s="67"/>
      <c r="O48" s="67"/>
      <c r="P48" s="67"/>
      <c r="Q48" s="67"/>
      <c r="R48" s="67"/>
      <c r="S48" s="67"/>
      <c r="T48" s="67"/>
      <c r="U48" s="67"/>
      <c r="V48" s="67"/>
      <c r="W48" s="67"/>
      <c r="X48" s="67"/>
      <c r="Y48" s="67"/>
      <c r="Z48" s="67"/>
      <c r="AA48" s="56"/>
    </row>
    <row r="49" spans="1:27" ht="15.75" thickBot="1" x14ac:dyDescent="0.3">
      <c r="A49" s="70" t="s">
        <v>320</v>
      </c>
      <c r="B49" s="67"/>
      <c r="C49" s="67"/>
      <c r="D49" s="67"/>
      <c r="E49" s="67"/>
      <c r="F49" s="67"/>
      <c r="G49" s="68"/>
      <c r="H49" s="67"/>
      <c r="I49" s="67"/>
      <c r="J49" s="67"/>
      <c r="K49" s="67"/>
      <c r="L49" s="67"/>
      <c r="M49" s="67"/>
      <c r="N49" s="67"/>
      <c r="O49" s="67"/>
      <c r="P49" s="67"/>
      <c r="Q49" s="67"/>
      <c r="R49" s="67"/>
      <c r="S49" s="67"/>
      <c r="T49" s="67"/>
      <c r="U49" s="67"/>
      <c r="V49" s="67"/>
      <c r="W49" s="67"/>
      <c r="X49" s="67"/>
      <c r="Y49" s="67"/>
      <c r="Z49" s="67"/>
      <c r="AA49" s="56"/>
    </row>
    <row r="50" spans="1:27" ht="18" x14ac:dyDescent="0.35">
      <c r="A50" s="71"/>
      <c r="B50" s="72"/>
      <c r="C50" s="72"/>
      <c r="D50" s="72"/>
      <c r="E50" s="72"/>
      <c r="F50" s="72"/>
      <c r="G50" s="93" t="s">
        <v>348</v>
      </c>
      <c r="H50" s="116">
        <v>10</v>
      </c>
      <c r="I50" s="74" t="s">
        <v>10</v>
      </c>
      <c r="J50" s="67"/>
      <c r="K50" s="67"/>
      <c r="L50" s="67"/>
      <c r="M50" s="67"/>
      <c r="N50" s="67"/>
      <c r="O50" s="67"/>
      <c r="P50" s="67"/>
      <c r="Q50" s="67"/>
      <c r="R50" s="67"/>
      <c r="S50" s="67"/>
      <c r="T50" s="67"/>
      <c r="U50" s="67"/>
      <c r="V50" s="67"/>
      <c r="W50" s="67"/>
      <c r="X50" s="67"/>
      <c r="Y50" s="67"/>
      <c r="Z50" s="67"/>
      <c r="AA50" s="56"/>
    </row>
    <row r="51" spans="1:27" ht="18" x14ac:dyDescent="0.35">
      <c r="A51" s="75"/>
      <c r="B51" s="67"/>
      <c r="C51" s="67"/>
      <c r="D51" s="67"/>
      <c r="E51" s="67"/>
      <c r="F51" s="67"/>
      <c r="G51" s="68" t="s">
        <v>347</v>
      </c>
      <c r="H51" s="117">
        <v>9</v>
      </c>
      <c r="I51" s="77" t="s">
        <v>10</v>
      </c>
      <c r="J51" s="67"/>
      <c r="K51" s="67"/>
      <c r="L51" s="67"/>
      <c r="M51" s="67"/>
      <c r="N51" s="67"/>
      <c r="O51" s="67"/>
      <c r="P51" s="67"/>
      <c r="Q51" s="115">
        <f>VIN_min</f>
        <v>11</v>
      </c>
      <c r="R51" s="67"/>
      <c r="S51" s="67"/>
      <c r="T51" s="67"/>
      <c r="U51" s="67"/>
      <c r="V51" s="67"/>
      <c r="W51" s="67"/>
      <c r="X51" s="67"/>
      <c r="Y51" s="67"/>
      <c r="Z51" s="67"/>
      <c r="AA51" s="56"/>
    </row>
    <row r="52" spans="1:27" ht="18" x14ac:dyDescent="0.35">
      <c r="A52" s="75"/>
      <c r="B52" s="67"/>
      <c r="C52" s="67"/>
      <c r="D52" s="67"/>
      <c r="E52" s="67"/>
      <c r="F52" s="67"/>
      <c r="G52" s="68" t="s">
        <v>463</v>
      </c>
      <c r="H52" s="125">
        <f>Ruvlo_top_calc/1000</f>
        <v>134</v>
      </c>
      <c r="I52" s="90" t="s">
        <v>215</v>
      </c>
      <c r="J52" s="67"/>
      <c r="K52" s="67"/>
      <c r="L52" s="67"/>
      <c r="M52" s="67"/>
      <c r="N52" s="67"/>
      <c r="O52" s="67"/>
      <c r="P52" s="67"/>
      <c r="Q52" s="67"/>
      <c r="R52" s="67"/>
      <c r="S52" s="67"/>
      <c r="T52" s="67"/>
      <c r="U52" s="67"/>
      <c r="V52" s="67"/>
      <c r="W52" s="67"/>
      <c r="X52" s="67"/>
      <c r="Y52" s="67"/>
      <c r="Z52" s="67"/>
      <c r="AA52" s="56"/>
    </row>
    <row r="53" spans="1:27" ht="18" x14ac:dyDescent="0.35">
      <c r="A53" s="75"/>
      <c r="B53" s="67"/>
      <c r="C53" s="67"/>
      <c r="D53" s="67"/>
      <c r="E53" s="67"/>
      <c r="F53" s="67"/>
      <c r="G53" s="68" t="s">
        <v>464</v>
      </c>
      <c r="H53" s="117">
        <v>150</v>
      </c>
      <c r="I53" s="90" t="s">
        <v>215</v>
      </c>
      <c r="J53" s="67"/>
      <c r="K53" s="67"/>
      <c r="L53" s="67"/>
      <c r="M53" s="67"/>
      <c r="N53" s="67"/>
      <c r="O53" s="67"/>
      <c r="P53" s="67"/>
      <c r="Q53" s="67"/>
      <c r="R53" s="67"/>
      <c r="S53" s="67"/>
      <c r="T53" s="67"/>
      <c r="U53" s="67"/>
      <c r="V53" s="67"/>
      <c r="W53" s="67"/>
      <c r="X53" s="67"/>
      <c r="Y53" s="67"/>
      <c r="Z53" s="67"/>
      <c r="AA53" s="56"/>
    </row>
    <row r="54" spans="1:27" ht="18.75" thickBot="1" x14ac:dyDescent="0.4">
      <c r="A54" s="88"/>
      <c r="B54" s="83"/>
      <c r="C54" s="83"/>
      <c r="D54" s="83"/>
      <c r="E54" s="83"/>
      <c r="F54" s="83"/>
      <c r="G54" s="91" t="s">
        <v>465</v>
      </c>
      <c r="H54" s="219">
        <f>IF(Ruvlo_bottom_calc/1000=0,"NA",Ruvlo_bottom_calc/1000)</f>
        <v>26.47058823529412</v>
      </c>
      <c r="I54" s="92" t="s">
        <v>215</v>
      </c>
      <c r="J54" s="67"/>
      <c r="K54" s="67"/>
      <c r="L54" s="67"/>
      <c r="M54" s="67"/>
      <c r="N54" s="67"/>
      <c r="O54" s="67"/>
      <c r="P54" s="67"/>
      <c r="Q54" s="67"/>
      <c r="R54" s="67"/>
      <c r="S54" s="67"/>
      <c r="T54" s="67"/>
      <c r="U54" s="67"/>
      <c r="V54" s="67"/>
      <c r="W54" s="67"/>
      <c r="X54" s="67"/>
      <c r="Y54" s="67"/>
      <c r="Z54" s="67"/>
      <c r="AA54" s="56"/>
    </row>
    <row r="55" spans="1:27" x14ac:dyDescent="0.25">
      <c r="A55" s="67"/>
      <c r="B55" s="67"/>
      <c r="C55" s="67"/>
      <c r="D55" s="67"/>
      <c r="E55" s="67"/>
      <c r="F55" s="67"/>
      <c r="G55" s="68"/>
      <c r="H55" s="67"/>
      <c r="I55" s="67"/>
      <c r="J55" s="67"/>
      <c r="K55" s="67"/>
      <c r="L55" s="67"/>
      <c r="M55" s="67"/>
      <c r="N55" s="67"/>
      <c r="O55" s="67"/>
      <c r="P55" s="67"/>
      <c r="Q55" s="67"/>
      <c r="R55" s="67"/>
      <c r="S55" s="67"/>
      <c r="T55" s="67"/>
      <c r="U55" s="67"/>
      <c r="V55" s="67"/>
      <c r="W55" s="67"/>
      <c r="X55" s="67"/>
      <c r="Y55" s="67"/>
      <c r="Z55" s="67"/>
      <c r="AA55" s="56"/>
    </row>
    <row r="56" spans="1:27" ht="15.75" thickBot="1" x14ac:dyDescent="0.3">
      <c r="A56" s="70" t="s">
        <v>371</v>
      </c>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56"/>
    </row>
    <row r="57" spans="1:27" ht="18" x14ac:dyDescent="0.35">
      <c r="A57" s="94"/>
      <c r="B57" s="72"/>
      <c r="C57" s="72"/>
      <c r="D57" s="72"/>
      <c r="E57" s="72"/>
      <c r="F57" s="72"/>
      <c r="G57" s="95" t="s">
        <v>489</v>
      </c>
      <c r="H57" s="128" t="str">
        <f>VIN_nom&amp;"V"</f>
        <v>15V</v>
      </c>
      <c r="I57" s="74"/>
      <c r="J57" s="67"/>
      <c r="K57" s="67"/>
      <c r="L57" s="67"/>
      <c r="M57" s="67"/>
      <c r="N57" s="67"/>
      <c r="O57" s="67"/>
      <c r="P57" s="67"/>
      <c r="Q57" s="67"/>
      <c r="R57" s="67"/>
      <c r="S57" s="67"/>
      <c r="T57" s="67"/>
      <c r="U57" s="67"/>
      <c r="V57" s="67"/>
      <c r="W57" s="67"/>
      <c r="X57" s="67"/>
      <c r="Y57" s="67"/>
      <c r="Z57" s="67"/>
      <c r="AA57" s="56"/>
    </row>
    <row r="58" spans="1:27" x14ac:dyDescent="0.25">
      <c r="A58" s="75"/>
      <c r="B58" s="67"/>
      <c r="C58" s="67"/>
      <c r="D58" s="67"/>
      <c r="E58" s="67"/>
      <c r="F58" s="67"/>
      <c r="G58" s="67"/>
      <c r="H58" s="129"/>
      <c r="I58" s="77"/>
      <c r="J58" s="67"/>
      <c r="K58" s="67"/>
      <c r="L58" s="67"/>
      <c r="M58" s="67"/>
      <c r="N58" s="67"/>
      <c r="O58" s="67"/>
      <c r="P58" s="67"/>
      <c r="Q58" s="67"/>
      <c r="R58" s="67"/>
      <c r="S58" s="67"/>
      <c r="T58" s="67"/>
      <c r="U58" s="67"/>
      <c r="V58" s="67"/>
      <c r="W58" s="67"/>
      <c r="X58" s="67"/>
      <c r="Y58" s="67"/>
      <c r="Z58" s="67"/>
      <c r="AA58" s="56"/>
    </row>
    <row r="59" spans="1:27" x14ac:dyDescent="0.25">
      <c r="A59" s="96"/>
      <c r="B59" s="67"/>
      <c r="C59" s="67"/>
      <c r="D59" s="67"/>
      <c r="E59" s="67"/>
      <c r="F59" s="67"/>
      <c r="G59" s="97" t="s">
        <v>216</v>
      </c>
      <c r="H59" s="119"/>
      <c r="I59" s="77"/>
      <c r="J59" s="67"/>
      <c r="K59" s="67"/>
      <c r="L59" s="67"/>
      <c r="M59" s="67"/>
      <c r="N59" s="67"/>
      <c r="O59" s="67"/>
      <c r="P59" s="67"/>
      <c r="Q59" s="67"/>
      <c r="R59" s="67"/>
      <c r="S59" s="67"/>
      <c r="T59" s="67"/>
      <c r="U59" s="67"/>
      <c r="V59" s="67"/>
      <c r="W59" s="67"/>
      <c r="X59" s="67"/>
      <c r="Y59" s="67"/>
      <c r="Z59" s="67"/>
      <c r="AA59" s="56"/>
    </row>
    <row r="60" spans="1:27" ht="18" x14ac:dyDescent="0.35">
      <c r="A60" s="96"/>
      <c r="B60" s="67"/>
      <c r="C60" s="67"/>
      <c r="D60" s="67"/>
      <c r="E60" s="67"/>
      <c r="F60" s="67"/>
      <c r="G60" s="68" t="s">
        <v>318</v>
      </c>
      <c r="H60" s="117">
        <v>130</v>
      </c>
      <c r="I60" s="90" t="s">
        <v>215</v>
      </c>
      <c r="J60" s="67"/>
      <c r="K60" s="67"/>
      <c r="L60" s="67"/>
      <c r="M60" s="67"/>
      <c r="N60" s="67"/>
      <c r="O60" s="67"/>
      <c r="P60" s="67"/>
      <c r="Q60" s="67"/>
      <c r="R60" s="67"/>
      <c r="S60" s="67"/>
      <c r="T60" s="67"/>
      <c r="U60" s="67"/>
      <c r="V60" s="67"/>
      <c r="W60" s="67"/>
      <c r="X60" s="67"/>
      <c r="Y60" s="67"/>
      <c r="Z60" s="67"/>
      <c r="AA60" s="56"/>
    </row>
    <row r="61" spans="1:27" ht="18" x14ac:dyDescent="0.35">
      <c r="A61" s="96"/>
      <c r="B61" s="67"/>
      <c r="C61" s="67"/>
      <c r="D61" s="67"/>
      <c r="E61" s="67"/>
      <c r="F61" s="67"/>
      <c r="G61" s="68" t="s">
        <v>294</v>
      </c>
      <c r="H61" s="125">
        <f>RFBB_calc/1000</f>
        <v>2.4761904761904763</v>
      </c>
      <c r="I61" s="90" t="s">
        <v>215</v>
      </c>
      <c r="J61" s="67"/>
      <c r="K61" s="67"/>
      <c r="L61" s="67"/>
      <c r="M61" s="67"/>
      <c r="N61" s="67"/>
      <c r="O61" s="67"/>
      <c r="P61" s="67"/>
      <c r="Q61" s="67"/>
      <c r="R61" s="67"/>
      <c r="S61" s="67"/>
      <c r="T61" s="67"/>
      <c r="U61" s="67"/>
      <c r="V61" s="67"/>
      <c r="W61" s="67"/>
      <c r="X61" s="67"/>
      <c r="Y61" s="67"/>
      <c r="Z61" s="67"/>
      <c r="AA61" s="56"/>
    </row>
    <row r="62" spans="1:27" ht="18" x14ac:dyDescent="0.35">
      <c r="A62" s="96"/>
      <c r="B62" s="67"/>
      <c r="C62" s="67"/>
      <c r="D62" s="67"/>
      <c r="E62" s="67"/>
      <c r="F62" s="67"/>
      <c r="G62" s="68" t="s">
        <v>530</v>
      </c>
      <c r="H62" s="117">
        <v>2.4900000000000002</v>
      </c>
      <c r="I62" s="90" t="s">
        <v>215</v>
      </c>
      <c r="J62" s="67"/>
      <c r="K62" s="67"/>
      <c r="L62" s="67"/>
      <c r="M62" s="67"/>
      <c r="N62" s="67"/>
      <c r="O62" s="67"/>
      <c r="P62" s="67"/>
      <c r="Q62" s="67"/>
      <c r="R62" s="67"/>
      <c r="S62" s="67"/>
      <c r="T62" s="67"/>
      <c r="U62" s="67"/>
      <c r="V62" s="67"/>
      <c r="W62" s="67"/>
      <c r="X62" s="67"/>
      <c r="Y62" s="67"/>
      <c r="Z62" s="67"/>
      <c r="AA62" s="56"/>
    </row>
    <row r="63" spans="1:27" x14ac:dyDescent="0.25">
      <c r="A63" s="75"/>
      <c r="B63" s="67"/>
      <c r="C63" s="67"/>
      <c r="D63" s="67"/>
      <c r="E63" s="67"/>
      <c r="F63" s="67"/>
      <c r="G63" s="68"/>
      <c r="H63" s="119"/>
      <c r="I63" s="77"/>
      <c r="J63" s="67"/>
      <c r="K63" s="67"/>
      <c r="L63" s="67"/>
      <c r="M63" s="67"/>
      <c r="N63" s="67"/>
      <c r="O63" s="67"/>
      <c r="P63" s="67"/>
      <c r="Q63" s="67"/>
      <c r="R63" s="67"/>
      <c r="S63" s="67"/>
      <c r="T63" s="67"/>
      <c r="U63" s="67"/>
      <c r="V63" s="67"/>
      <c r="W63" s="67"/>
      <c r="X63" s="67"/>
      <c r="Y63" s="67"/>
      <c r="Z63" s="67"/>
      <c r="AA63" s="56"/>
    </row>
    <row r="64" spans="1:27" x14ac:dyDescent="0.25">
      <c r="A64" s="75"/>
      <c r="B64" s="67"/>
      <c r="C64" s="67"/>
      <c r="D64" s="67"/>
      <c r="E64" s="67"/>
      <c r="F64" s="67"/>
      <c r="G64" s="68"/>
      <c r="H64" s="119"/>
      <c r="I64" s="77"/>
      <c r="J64" s="67"/>
      <c r="K64" s="67"/>
      <c r="L64" s="67"/>
      <c r="M64" s="67"/>
      <c r="N64" s="67"/>
      <c r="O64" s="67"/>
      <c r="P64" s="67"/>
      <c r="Q64" s="67"/>
      <c r="R64" s="67"/>
      <c r="S64" s="67"/>
      <c r="T64" s="67"/>
      <c r="U64" s="67"/>
      <c r="V64" s="67"/>
      <c r="W64" s="67"/>
      <c r="X64" s="67"/>
      <c r="Y64" s="67"/>
      <c r="Z64" s="67"/>
      <c r="AA64" s="56"/>
    </row>
    <row r="65" spans="1:27" x14ac:dyDescent="0.25">
      <c r="A65" s="75"/>
      <c r="B65" s="67"/>
      <c r="C65" s="67"/>
      <c r="D65" s="67"/>
      <c r="E65" s="67"/>
      <c r="F65" s="67"/>
      <c r="G65" s="68" t="s">
        <v>550</v>
      </c>
      <c r="H65" s="220">
        <f>fcross_est/1000</f>
        <v>33.329435988437758</v>
      </c>
      <c r="I65" s="77" t="s">
        <v>12</v>
      </c>
      <c r="J65" s="67"/>
      <c r="K65" s="67"/>
      <c r="L65" s="67"/>
      <c r="M65" s="67"/>
      <c r="N65" s="67"/>
      <c r="O65" s="67"/>
      <c r="P65" s="67"/>
      <c r="Q65" s="67"/>
      <c r="R65" s="67"/>
      <c r="S65" s="67"/>
      <c r="T65" s="67"/>
      <c r="U65" s="67"/>
      <c r="V65" s="67"/>
      <c r="W65" s="67"/>
      <c r="X65" s="67"/>
      <c r="Y65" s="67"/>
      <c r="Z65" s="67"/>
      <c r="AA65" s="56"/>
    </row>
    <row r="66" spans="1:27" ht="18" x14ac:dyDescent="0.35">
      <c r="A66" s="75"/>
      <c r="B66" s="67"/>
      <c r="C66" s="67"/>
      <c r="D66" s="67"/>
      <c r="E66" s="67"/>
      <c r="F66" s="67"/>
      <c r="G66" s="68" t="s">
        <v>551</v>
      </c>
      <c r="H66" s="117">
        <v>33</v>
      </c>
      <c r="I66" s="77" t="s">
        <v>12</v>
      </c>
      <c r="J66" s="67"/>
      <c r="K66" s="67"/>
      <c r="L66" s="67"/>
      <c r="M66" s="67"/>
      <c r="N66" s="67"/>
      <c r="O66" s="67"/>
      <c r="P66" s="67"/>
      <c r="Q66" s="67"/>
      <c r="R66" s="67"/>
      <c r="S66" s="67"/>
      <c r="T66" s="67"/>
      <c r="U66" s="67"/>
      <c r="V66" s="67"/>
      <c r="W66" s="67"/>
      <c r="X66" s="67"/>
      <c r="Y66" s="67"/>
      <c r="Z66" s="67"/>
      <c r="AA66" s="56"/>
    </row>
    <row r="67" spans="1:27" x14ac:dyDescent="0.25">
      <c r="A67" s="75"/>
      <c r="B67" s="67"/>
      <c r="C67" s="67"/>
      <c r="D67" s="67"/>
      <c r="E67" s="67"/>
      <c r="F67" s="67"/>
      <c r="G67" s="68"/>
      <c r="H67" s="119"/>
      <c r="I67" s="77"/>
      <c r="J67" s="67"/>
      <c r="K67" s="67"/>
      <c r="L67" s="67" t="str">
        <f>Loop_Modeling!A68</f>
        <v>Crossover Frequency = 55 kHz</v>
      </c>
      <c r="M67" s="67"/>
      <c r="N67" s="67"/>
      <c r="O67" s="67"/>
      <c r="P67" s="67"/>
      <c r="Q67" s="67"/>
      <c r="R67" s="67"/>
      <c r="S67" s="67"/>
      <c r="T67" s="67"/>
      <c r="U67" s="67"/>
      <c r="V67" s="67"/>
      <c r="W67" s="67"/>
      <c r="X67" s="67"/>
      <c r="Y67" s="67"/>
      <c r="Z67" s="67"/>
      <c r="AA67" s="56"/>
    </row>
    <row r="68" spans="1:27" ht="15.75" thickBot="1" x14ac:dyDescent="0.3">
      <c r="A68" s="75"/>
      <c r="B68" s="67"/>
      <c r="C68" s="67"/>
      <c r="D68" s="67"/>
      <c r="E68" s="67"/>
      <c r="F68" s="99" t="s">
        <v>323</v>
      </c>
      <c r="G68" s="99"/>
      <c r="H68" s="130" t="s">
        <v>324</v>
      </c>
      <c r="I68" s="100"/>
      <c r="J68" s="67"/>
      <c r="K68" s="67"/>
      <c r="L68" s="67" t="str">
        <f>Loop_Modeling!A69</f>
        <v>Phase Margin = 57°</v>
      </c>
      <c r="M68" s="67"/>
      <c r="N68" s="67"/>
      <c r="O68" s="67"/>
      <c r="P68" s="67"/>
      <c r="Q68" s="67"/>
      <c r="R68" s="67"/>
      <c r="S68" s="67"/>
      <c r="T68" s="67"/>
      <c r="U68" s="67"/>
      <c r="V68" s="67"/>
      <c r="W68" s="67"/>
      <c r="X68" s="67"/>
      <c r="Y68" s="67"/>
      <c r="Z68" s="67"/>
      <c r="AA68" s="56"/>
    </row>
    <row r="69" spans="1:27" ht="18.75" thickBot="1" x14ac:dyDescent="0.4">
      <c r="A69" s="75"/>
      <c r="B69" s="67"/>
      <c r="C69" s="67"/>
      <c r="D69" s="67"/>
      <c r="E69" s="68" t="s">
        <v>322</v>
      </c>
      <c r="F69" s="141">
        <f>Rcomp_calc/1000</f>
        <v>54.445390015496649</v>
      </c>
      <c r="G69" s="135" t="s">
        <v>215</v>
      </c>
      <c r="H69" s="132">
        <v>72</v>
      </c>
      <c r="I69" s="90" t="s">
        <v>215</v>
      </c>
      <c r="J69" s="67"/>
      <c r="K69" s="67"/>
      <c r="L69" s="67"/>
      <c r="M69" s="67"/>
      <c r="N69" s="67"/>
      <c r="O69" s="67"/>
      <c r="P69" s="67"/>
      <c r="Q69" s="67"/>
      <c r="R69" s="67"/>
      <c r="S69" s="67"/>
      <c r="T69" s="67"/>
      <c r="U69" s="67"/>
      <c r="V69" s="67"/>
      <c r="W69" s="67"/>
      <c r="X69" s="67"/>
      <c r="Y69" s="67"/>
      <c r="Z69" s="67"/>
      <c r="AA69" s="56"/>
    </row>
    <row r="70" spans="1:27" ht="18.75" thickBot="1" x14ac:dyDescent="0.4">
      <c r="A70" s="75"/>
      <c r="B70" s="67"/>
      <c r="C70" s="67"/>
      <c r="D70" s="67"/>
      <c r="E70" s="68" t="s">
        <v>448</v>
      </c>
      <c r="F70" s="133">
        <f>CComp_calc*(10^9)</f>
        <v>1.2044624040008711</v>
      </c>
      <c r="G70" s="135" t="s">
        <v>218</v>
      </c>
      <c r="H70" s="132">
        <v>1</v>
      </c>
      <c r="I70" s="77" t="s">
        <v>218</v>
      </c>
      <c r="J70" s="67"/>
      <c r="K70" s="67"/>
      <c r="L70" s="67"/>
      <c r="M70" s="67"/>
      <c r="N70" s="67"/>
      <c r="O70" s="67"/>
      <c r="P70" s="67"/>
      <c r="Q70" s="67"/>
      <c r="R70" s="67"/>
      <c r="S70" s="67"/>
      <c r="T70" s="67"/>
      <c r="U70" s="67"/>
      <c r="V70" s="67"/>
      <c r="W70" s="67"/>
      <c r="X70" s="67"/>
      <c r="Y70" s="67"/>
      <c r="Z70" s="67"/>
      <c r="AA70" s="56"/>
    </row>
    <row r="71" spans="1:27" ht="18.75" thickBot="1" x14ac:dyDescent="0.4">
      <c r="A71" s="88"/>
      <c r="B71" s="83"/>
      <c r="C71" s="83"/>
      <c r="D71" s="83"/>
      <c r="E71" s="91" t="s">
        <v>449</v>
      </c>
      <c r="F71" s="131">
        <f>Variable_Management!B231*(10^12)</f>
        <v>17.80050959732085</v>
      </c>
      <c r="G71" s="136" t="s">
        <v>217</v>
      </c>
      <c r="H71" s="124">
        <v>13</v>
      </c>
      <c r="I71" s="85" t="s">
        <v>217</v>
      </c>
      <c r="J71" s="67"/>
      <c r="K71" s="67"/>
      <c r="L71" s="67"/>
      <c r="M71" s="67"/>
      <c r="N71" s="67"/>
      <c r="O71" s="67"/>
      <c r="P71" s="67"/>
      <c r="Q71" s="67"/>
      <c r="R71" s="67"/>
      <c r="S71" s="67"/>
      <c r="T71" s="67"/>
      <c r="U71" s="67"/>
      <c r="V71" s="67"/>
      <c r="W71" s="67"/>
      <c r="X71" s="67"/>
      <c r="Y71" s="67"/>
      <c r="Z71" s="67"/>
      <c r="AA71" s="56"/>
    </row>
    <row r="72" spans="1:27" x14ac:dyDescent="0.25">
      <c r="A72" s="67"/>
      <c r="B72" s="67"/>
      <c r="C72" s="67"/>
      <c r="D72" s="67"/>
      <c r="E72" s="68"/>
      <c r="F72" s="101"/>
      <c r="G72" s="68"/>
      <c r="H72" s="98"/>
      <c r="I72" s="67"/>
      <c r="J72" s="67"/>
      <c r="K72" s="67"/>
      <c r="L72" s="67"/>
      <c r="M72" s="67"/>
      <c r="N72" s="67"/>
      <c r="O72" s="67"/>
      <c r="P72" s="67"/>
      <c r="Q72" s="67"/>
      <c r="R72" s="67"/>
      <c r="S72" s="67"/>
      <c r="T72" s="67"/>
      <c r="U72" s="67"/>
      <c r="V72" s="67"/>
      <c r="W72" s="67"/>
      <c r="X72" s="67"/>
      <c r="Y72" s="67"/>
      <c r="Z72" s="67"/>
      <c r="AA72" s="56"/>
    </row>
    <row r="73" spans="1:27" ht="23.25" x14ac:dyDescent="0.35">
      <c r="A73" s="102" t="s">
        <v>321</v>
      </c>
      <c r="B73" s="103"/>
      <c r="C73" s="103"/>
      <c r="D73" s="103"/>
      <c r="E73" s="103"/>
      <c r="F73" s="103"/>
      <c r="G73" s="104"/>
      <c r="H73" s="103"/>
      <c r="I73" s="103"/>
      <c r="J73" s="103"/>
      <c r="K73" s="103"/>
      <c r="L73" s="103"/>
      <c r="M73" s="103"/>
      <c r="N73" s="103"/>
      <c r="O73" s="103"/>
      <c r="P73" s="103"/>
      <c r="Q73" s="103"/>
      <c r="R73" s="103"/>
      <c r="S73" s="103"/>
      <c r="T73" s="105"/>
      <c r="U73" s="105"/>
      <c r="V73" s="105"/>
      <c r="W73" s="105"/>
      <c r="X73" s="105"/>
      <c r="Y73" s="105"/>
      <c r="Z73" s="105"/>
    </row>
    <row r="74" spans="1:27" x14ac:dyDescent="0.25">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56"/>
    </row>
    <row r="75" spans="1:27" ht="15.75" thickBot="1" x14ac:dyDescent="0.3">
      <c r="A75" s="106" t="s">
        <v>399</v>
      </c>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56"/>
    </row>
    <row r="76" spans="1:27" ht="15.75" x14ac:dyDescent="0.3">
      <c r="A76" s="71"/>
      <c r="B76" s="72"/>
      <c r="C76" s="72"/>
      <c r="D76" s="72"/>
      <c r="E76" s="72"/>
      <c r="F76" s="72"/>
      <c r="G76" s="107" t="s">
        <v>387</v>
      </c>
      <c r="H76" s="116"/>
      <c r="I76" s="108" t="s">
        <v>394</v>
      </c>
      <c r="J76" s="98"/>
      <c r="K76" s="98"/>
      <c r="L76" s="98"/>
      <c r="M76" s="98"/>
      <c r="N76" s="98"/>
      <c r="O76" s="98"/>
      <c r="P76" s="98"/>
      <c r="Q76" s="98"/>
      <c r="R76" s="98"/>
      <c r="S76" s="98"/>
      <c r="T76" s="98"/>
      <c r="U76" s="98"/>
      <c r="V76" s="98"/>
      <c r="W76" s="98"/>
      <c r="X76" s="98"/>
      <c r="Y76" s="98"/>
      <c r="Z76" s="98"/>
      <c r="AA76" s="56"/>
    </row>
    <row r="77" spans="1:27" ht="15.75" x14ac:dyDescent="0.3">
      <c r="A77" s="96"/>
      <c r="B77" s="67"/>
      <c r="C77" s="67"/>
      <c r="D77" s="67"/>
      <c r="E77" s="67"/>
      <c r="F77" s="67"/>
      <c r="G77" s="109" t="s">
        <v>388</v>
      </c>
      <c r="H77" s="117">
        <v>39.4</v>
      </c>
      <c r="I77" s="110" t="s">
        <v>395</v>
      </c>
      <c r="J77" s="98"/>
      <c r="K77" s="98"/>
      <c r="L77" s="98"/>
      <c r="M77" s="98"/>
      <c r="N77" s="98"/>
      <c r="O77" s="98"/>
      <c r="P77" s="98"/>
      <c r="Q77" s="98"/>
      <c r="R77" s="98"/>
      <c r="S77" s="98"/>
      <c r="T77" s="98"/>
      <c r="U77" s="98"/>
      <c r="V77" s="98"/>
      <c r="W77" s="98"/>
      <c r="X77" s="98"/>
      <c r="Y77" s="98"/>
      <c r="Z77" s="98"/>
      <c r="AA77" s="56"/>
    </row>
    <row r="78" spans="1:27" ht="15.75" x14ac:dyDescent="0.3">
      <c r="A78" s="96"/>
      <c r="B78" s="67"/>
      <c r="C78" s="67"/>
      <c r="D78" s="67"/>
      <c r="E78" s="67"/>
      <c r="F78" s="67"/>
      <c r="G78" s="109" t="s">
        <v>389</v>
      </c>
      <c r="H78" s="117">
        <v>11.1</v>
      </c>
      <c r="I78" s="110" t="s">
        <v>395</v>
      </c>
      <c r="J78" s="98"/>
      <c r="K78" s="98"/>
      <c r="L78" s="98"/>
      <c r="M78" s="98"/>
      <c r="N78" s="98"/>
      <c r="O78" s="98"/>
      <c r="P78" s="98"/>
      <c r="Q78" s="98"/>
      <c r="R78" s="98"/>
      <c r="S78" s="98"/>
      <c r="T78" s="98"/>
      <c r="U78" s="98"/>
      <c r="V78" s="98"/>
      <c r="W78" s="98"/>
      <c r="X78" s="98"/>
      <c r="Y78" s="98"/>
      <c r="Z78" s="98"/>
      <c r="AA78" s="56"/>
    </row>
    <row r="79" spans="1:27" ht="15.75" x14ac:dyDescent="0.3">
      <c r="A79" s="75"/>
      <c r="B79" s="67"/>
      <c r="C79" s="67"/>
      <c r="D79" s="67"/>
      <c r="E79" s="67"/>
      <c r="F79" s="67"/>
      <c r="G79" s="109" t="s">
        <v>390</v>
      </c>
      <c r="H79" s="117">
        <v>12.3</v>
      </c>
      <c r="I79" s="110" t="s">
        <v>395</v>
      </c>
      <c r="J79" s="98"/>
      <c r="K79" s="98"/>
      <c r="L79" s="98"/>
      <c r="M79" s="98"/>
      <c r="N79" s="98"/>
      <c r="O79" s="98"/>
      <c r="P79" s="98"/>
      <c r="Q79" s="98"/>
      <c r="R79" s="98"/>
      <c r="S79" s="98"/>
      <c r="T79" s="98"/>
      <c r="U79" s="98"/>
      <c r="V79" s="98"/>
      <c r="W79" s="98"/>
      <c r="X79" s="98"/>
      <c r="Y79" s="98"/>
      <c r="Z79" s="98"/>
      <c r="AA79" s="56"/>
    </row>
    <row r="80" spans="1:27" ht="15.75" x14ac:dyDescent="0.3">
      <c r="A80" s="75"/>
      <c r="B80" s="67"/>
      <c r="C80" s="67"/>
      <c r="D80" s="67"/>
      <c r="E80" s="67"/>
      <c r="F80" s="67"/>
      <c r="G80" s="109" t="s">
        <v>391</v>
      </c>
      <c r="H80" s="117">
        <v>1.5</v>
      </c>
      <c r="I80" s="110" t="s">
        <v>396</v>
      </c>
      <c r="J80" s="98"/>
      <c r="K80" s="98"/>
      <c r="L80" s="98"/>
      <c r="M80" s="98"/>
      <c r="N80" s="98"/>
      <c r="O80" s="98"/>
      <c r="P80" s="98"/>
      <c r="Q80" s="98"/>
      <c r="R80" s="98"/>
      <c r="S80" s="98"/>
      <c r="T80" s="98"/>
      <c r="U80" s="98"/>
      <c r="V80" s="98"/>
      <c r="W80" s="98"/>
      <c r="X80" s="98"/>
      <c r="Y80" s="98"/>
      <c r="Z80" s="98"/>
      <c r="AA80" s="56"/>
    </row>
    <row r="81" spans="1:27" ht="15.75" x14ac:dyDescent="0.3">
      <c r="A81" s="75"/>
      <c r="B81" s="67"/>
      <c r="C81" s="67"/>
      <c r="D81" s="67"/>
      <c r="E81" s="67"/>
      <c r="F81" s="67"/>
      <c r="G81" s="109" t="s">
        <v>392</v>
      </c>
      <c r="H81" s="117">
        <v>60</v>
      </c>
      <c r="I81" s="110" t="s">
        <v>397</v>
      </c>
      <c r="J81" s="98"/>
      <c r="K81" s="98"/>
      <c r="L81" s="98"/>
      <c r="M81" s="98"/>
      <c r="N81" s="98"/>
      <c r="O81" s="98"/>
      <c r="P81" s="98"/>
      <c r="Q81" s="98"/>
      <c r="R81" s="98"/>
      <c r="S81" s="98"/>
      <c r="T81" s="98"/>
      <c r="U81" s="98"/>
      <c r="V81" s="98"/>
      <c r="W81" s="98"/>
      <c r="X81" s="98"/>
      <c r="Y81" s="98"/>
      <c r="Z81" s="98"/>
      <c r="AA81" s="56"/>
    </row>
    <row r="82" spans="1:27" ht="16.5" thickBot="1" x14ac:dyDescent="0.35">
      <c r="A82" s="88"/>
      <c r="B82" s="83"/>
      <c r="C82" s="83"/>
      <c r="D82" s="83"/>
      <c r="E82" s="83"/>
      <c r="F82" s="83"/>
      <c r="G82" s="111" t="s">
        <v>393</v>
      </c>
      <c r="H82" s="124">
        <v>1.7</v>
      </c>
      <c r="I82" s="112" t="s">
        <v>10</v>
      </c>
      <c r="J82" s="98"/>
      <c r="K82" s="98"/>
      <c r="L82" s="98"/>
      <c r="M82" s="98"/>
      <c r="N82" s="98"/>
      <c r="O82" s="98"/>
      <c r="P82" s="98"/>
      <c r="Q82" s="98"/>
      <c r="R82" s="98"/>
      <c r="S82" s="98"/>
      <c r="T82" s="98"/>
      <c r="U82" s="98"/>
      <c r="V82" s="98"/>
      <c r="W82" s="98"/>
      <c r="X82" s="98"/>
      <c r="Y82" s="98"/>
      <c r="Z82" s="98"/>
      <c r="AA82" s="56"/>
    </row>
    <row r="83" spans="1:27" x14ac:dyDescent="0.25">
      <c r="A83" s="67"/>
      <c r="B83" s="67"/>
      <c r="C83" s="67"/>
      <c r="D83" s="67"/>
      <c r="E83" s="67"/>
      <c r="F83" s="67"/>
      <c r="G83" s="68"/>
      <c r="H83" s="67"/>
      <c r="I83" s="67"/>
      <c r="J83" s="67"/>
      <c r="K83" s="67"/>
      <c r="L83" s="67"/>
      <c r="M83" s="67"/>
      <c r="N83" s="67"/>
      <c r="O83" s="67"/>
      <c r="P83" s="67"/>
      <c r="Q83" s="67"/>
      <c r="R83" s="67"/>
      <c r="S83" s="67"/>
      <c r="T83" s="67"/>
      <c r="U83" s="67"/>
      <c r="V83" s="67"/>
      <c r="W83" s="67"/>
      <c r="X83" s="67"/>
      <c r="Y83" s="67"/>
      <c r="Z83" s="67"/>
      <c r="AA83" s="56"/>
    </row>
    <row r="84" spans="1:27" ht="15.75" thickBot="1" x14ac:dyDescent="0.3">
      <c r="A84" s="106" t="s">
        <v>398</v>
      </c>
      <c r="B84" s="67"/>
      <c r="C84" s="67"/>
      <c r="D84" s="67"/>
      <c r="E84" s="67"/>
      <c r="F84" s="67"/>
      <c r="G84" s="68"/>
      <c r="H84" s="67"/>
      <c r="I84" s="67"/>
      <c r="J84" s="67"/>
      <c r="K84" s="67"/>
      <c r="L84" s="67"/>
      <c r="M84" s="67"/>
      <c r="N84" s="67"/>
      <c r="O84" s="67"/>
      <c r="P84" s="67"/>
      <c r="Q84" s="67"/>
      <c r="R84" s="67"/>
      <c r="S84" s="67"/>
      <c r="T84" s="67"/>
      <c r="U84" s="67"/>
      <c r="V84" s="67"/>
      <c r="W84" s="67"/>
      <c r="X84" s="67"/>
      <c r="Y84" s="67"/>
      <c r="Z84" s="67"/>
      <c r="AA84" s="56"/>
    </row>
    <row r="85" spans="1:27" ht="18" x14ac:dyDescent="0.35">
      <c r="A85" s="71"/>
      <c r="B85" s="72"/>
      <c r="C85" s="72"/>
      <c r="D85" s="72"/>
      <c r="E85" s="72"/>
      <c r="F85" s="72"/>
      <c r="G85" s="93" t="s">
        <v>492</v>
      </c>
      <c r="H85" s="134">
        <f>IOUT</f>
        <v>6</v>
      </c>
      <c r="I85" s="74" t="s">
        <v>11</v>
      </c>
      <c r="J85" s="98"/>
      <c r="K85" s="98"/>
      <c r="L85" s="98"/>
      <c r="M85" s="98"/>
      <c r="N85" s="98"/>
      <c r="O85" s="98"/>
      <c r="P85" s="98"/>
      <c r="Q85" s="98"/>
      <c r="R85" s="98"/>
      <c r="S85" s="98"/>
      <c r="T85" s="98"/>
      <c r="U85" s="98"/>
      <c r="V85" s="98"/>
      <c r="W85" s="98"/>
      <c r="X85" s="98"/>
      <c r="Y85" s="98"/>
      <c r="Z85" s="98"/>
      <c r="AA85" s="56"/>
    </row>
    <row r="86" spans="1:27" ht="18" x14ac:dyDescent="0.35">
      <c r="A86" s="75"/>
      <c r="B86" s="67"/>
      <c r="C86" s="67"/>
      <c r="D86" s="67"/>
      <c r="E86" s="67"/>
      <c r="F86" s="67"/>
      <c r="G86" s="68" t="s">
        <v>400</v>
      </c>
      <c r="H86" s="117">
        <v>580</v>
      </c>
      <c r="I86" s="77" t="s">
        <v>186</v>
      </c>
      <c r="J86" s="98"/>
      <c r="K86" s="98"/>
      <c r="L86" s="98"/>
      <c r="M86" s="98"/>
      <c r="N86" s="98"/>
      <c r="O86" s="98"/>
      <c r="P86" s="98"/>
      <c r="Q86" s="98"/>
      <c r="R86" s="98"/>
      <c r="S86" s="98"/>
      <c r="T86" s="98"/>
      <c r="U86" s="98"/>
      <c r="V86" s="98"/>
      <c r="W86" s="98"/>
      <c r="X86" s="98"/>
      <c r="Y86" s="98"/>
      <c r="Z86" s="98"/>
      <c r="AA86" s="56"/>
    </row>
    <row r="87" spans="1:27" ht="15.75" thickBot="1" x14ac:dyDescent="0.3">
      <c r="A87" s="88"/>
      <c r="B87" s="83"/>
      <c r="C87" s="83"/>
      <c r="D87" s="83"/>
      <c r="E87" s="83"/>
      <c r="F87" s="83"/>
      <c r="G87" s="91" t="s">
        <v>408</v>
      </c>
      <c r="H87" s="124">
        <v>10</v>
      </c>
      <c r="I87" s="85" t="s">
        <v>395</v>
      </c>
      <c r="J87" s="98"/>
      <c r="K87" s="98"/>
      <c r="L87" s="98"/>
      <c r="M87" s="98"/>
      <c r="N87" s="98"/>
      <c r="O87" s="98"/>
      <c r="P87" s="98"/>
      <c r="Q87" s="98"/>
      <c r="R87" s="98"/>
      <c r="S87" s="98"/>
      <c r="T87" s="98"/>
      <c r="U87" s="98"/>
      <c r="V87" s="98"/>
      <c r="W87" s="98"/>
      <c r="X87" s="98"/>
      <c r="Y87" s="98"/>
      <c r="Z87" s="98"/>
      <c r="AA87" s="56"/>
    </row>
    <row r="88" spans="1:27" x14ac:dyDescent="0.25">
      <c r="A88" s="67"/>
      <c r="B88" s="67"/>
      <c r="C88" s="67"/>
      <c r="D88" s="67"/>
      <c r="E88" s="67"/>
      <c r="F88" s="67"/>
      <c r="G88" s="68"/>
      <c r="H88" s="67"/>
      <c r="I88" s="67"/>
      <c r="J88" s="67"/>
      <c r="K88" s="67"/>
      <c r="L88" s="67"/>
      <c r="M88" s="67"/>
      <c r="N88" s="67"/>
      <c r="O88" s="67"/>
      <c r="P88" s="67"/>
      <c r="Q88" s="67"/>
      <c r="R88" s="67"/>
      <c r="S88" s="67"/>
      <c r="T88" s="67"/>
      <c r="U88" s="67"/>
      <c r="V88" s="67"/>
      <c r="W88" s="67"/>
      <c r="X88" s="67"/>
      <c r="Y88" s="67"/>
      <c r="Z88" s="67"/>
      <c r="AA88" s="56"/>
    </row>
    <row r="89" spans="1:27" x14ac:dyDescent="0.25">
      <c r="A89" s="67"/>
      <c r="B89" s="67"/>
      <c r="C89" s="67"/>
      <c r="D89" s="67"/>
      <c r="E89" s="67"/>
      <c r="F89" s="67"/>
      <c r="G89" s="68"/>
      <c r="H89" s="67"/>
      <c r="I89" s="67"/>
      <c r="J89" s="67"/>
      <c r="K89" s="67"/>
      <c r="L89" s="67"/>
      <c r="M89" s="67"/>
      <c r="N89" s="67"/>
      <c r="O89" s="67"/>
      <c r="P89" s="67"/>
      <c r="Q89" s="67"/>
      <c r="R89" s="67"/>
      <c r="S89" s="67"/>
      <c r="T89" s="67"/>
      <c r="U89" s="67"/>
      <c r="V89" s="67"/>
      <c r="W89" s="67"/>
      <c r="X89" s="67"/>
      <c r="Y89" s="67"/>
      <c r="Z89" s="67"/>
      <c r="AA89" s="56"/>
    </row>
    <row r="90" spans="1:27" x14ac:dyDescent="0.25">
      <c r="A90" s="67"/>
      <c r="B90" s="67"/>
      <c r="C90" s="67"/>
      <c r="D90" s="67"/>
      <c r="E90" s="67"/>
      <c r="F90" s="67"/>
      <c r="G90" s="68"/>
      <c r="H90" s="67"/>
      <c r="I90" s="67"/>
      <c r="J90" s="67"/>
      <c r="K90" s="67"/>
      <c r="L90" s="67"/>
      <c r="M90" s="67"/>
      <c r="N90" s="67"/>
      <c r="O90" s="67"/>
      <c r="P90" s="67"/>
      <c r="Q90" s="67"/>
      <c r="R90" s="67"/>
      <c r="S90" s="67"/>
      <c r="T90" s="67"/>
      <c r="U90" s="67"/>
      <c r="V90" s="67"/>
      <c r="W90" s="67"/>
      <c r="X90" s="67"/>
      <c r="Y90" s="67"/>
      <c r="Z90" s="67"/>
      <c r="AA90" s="56"/>
    </row>
    <row r="91" spans="1:27" x14ac:dyDescent="0.25">
      <c r="A91" s="67"/>
      <c r="B91" s="67"/>
      <c r="C91" s="67"/>
      <c r="D91" s="67"/>
      <c r="E91" s="67"/>
      <c r="F91" s="67"/>
      <c r="G91" s="68"/>
      <c r="H91" s="67"/>
      <c r="I91" s="67"/>
      <c r="J91" s="67"/>
      <c r="K91" s="67"/>
      <c r="L91" s="67"/>
      <c r="M91" s="67"/>
      <c r="N91" s="67"/>
      <c r="O91" s="67"/>
      <c r="P91" s="67"/>
      <c r="Q91" s="67"/>
      <c r="R91" s="67"/>
      <c r="S91" s="67"/>
      <c r="T91" s="67"/>
      <c r="U91" s="67"/>
      <c r="V91" s="67"/>
      <c r="W91" s="67"/>
      <c r="X91" s="67"/>
      <c r="Y91" s="67"/>
      <c r="Z91" s="67"/>
      <c r="AA91" s="56"/>
    </row>
    <row r="92" spans="1:27" x14ac:dyDescent="0.25">
      <c r="A92" s="67"/>
      <c r="B92" s="67"/>
      <c r="C92" s="67"/>
      <c r="D92" s="67"/>
      <c r="E92" s="67"/>
      <c r="F92" s="67"/>
      <c r="G92" s="68"/>
      <c r="H92" s="67"/>
      <c r="I92" s="67"/>
      <c r="J92" s="67"/>
      <c r="K92" s="67"/>
      <c r="L92" s="67"/>
      <c r="M92" s="67"/>
      <c r="N92" s="67"/>
      <c r="O92" s="67"/>
      <c r="P92" s="67"/>
      <c r="Q92" s="67"/>
      <c r="R92" s="67"/>
      <c r="S92" s="67"/>
      <c r="T92" s="67"/>
      <c r="U92" s="67"/>
      <c r="V92" s="67"/>
      <c r="W92" s="67"/>
      <c r="X92" s="67"/>
      <c r="Y92" s="67"/>
      <c r="Z92" s="67"/>
      <c r="AA92" s="56"/>
    </row>
    <row r="93" spans="1:27" x14ac:dyDescent="0.25">
      <c r="A93" s="67"/>
      <c r="B93" s="67"/>
      <c r="C93" s="67"/>
      <c r="D93" s="67"/>
      <c r="E93" s="67"/>
      <c r="F93" s="67"/>
      <c r="G93" s="68"/>
      <c r="H93" s="67"/>
      <c r="I93" s="67"/>
      <c r="J93" s="67"/>
      <c r="K93" s="67"/>
      <c r="L93" s="67"/>
      <c r="M93" s="67"/>
      <c r="N93" s="67"/>
      <c r="O93" s="67"/>
      <c r="P93" s="67"/>
      <c r="Q93" s="67"/>
      <c r="R93" s="67"/>
      <c r="S93" s="67"/>
      <c r="T93" s="67"/>
      <c r="U93" s="67"/>
      <c r="V93" s="67"/>
      <c r="W93" s="67"/>
      <c r="X93" s="67"/>
      <c r="Y93" s="67"/>
      <c r="Z93" s="67"/>
      <c r="AA93" s="56"/>
    </row>
    <row r="94" spans="1:27" x14ac:dyDescent="0.25">
      <c r="A94" s="67"/>
      <c r="B94" s="67"/>
      <c r="C94" s="67"/>
      <c r="D94" s="67"/>
      <c r="E94" s="67"/>
      <c r="F94" s="67"/>
      <c r="G94" s="68"/>
      <c r="H94" s="67"/>
      <c r="I94" s="67"/>
      <c r="J94" s="67"/>
      <c r="K94" s="67"/>
      <c r="L94" s="67"/>
      <c r="M94" s="67"/>
      <c r="N94" s="67"/>
      <c r="O94" s="67"/>
      <c r="P94" s="67"/>
      <c r="Q94" s="67"/>
      <c r="R94" s="67"/>
      <c r="S94" s="67"/>
      <c r="T94" s="67"/>
      <c r="U94" s="67"/>
      <c r="V94" s="67"/>
      <c r="W94" s="67"/>
      <c r="X94" s="67"/>
      <c r="Y94" s="67"/>
      <c r="Z94" s="67"/>
      <c r="AA94" s="56"/>
    </row>
    <row r="95" spans="1:27" x14ac:dyDescent="0.25">
      <c r="A95" s="67"/>
      <c r="B95" s="67"/>
      <c r="C95" s="67"/>
      <c r="D95" s="67"/>
      <c r="E95" s="67"/>
      <c r="F95" s="67"/>
      <c r="G95" s="68"/>
      <c r="H95" s="67"/>
      <c r="I95" s="67"/>
      <c r="J95" s="67"/>
      <c r="K95" s="67"/>
      <c r="L95" s="67"/>
      <c r="M95" s="67"/>
      <c r="N95" s="67"/>
      <c r="O95" s="67"/>
      <c r="P95" s="67"/>
      <c r="Q95" s="67"/>
      <c r="R95" s="67"/>
      <c r="S95" s="67"/>
      <c r="T95" s="67"/>
      <c r="U95" s="67"/>
      <c r="V95" s="67"/>
      <c r="W95" s="67"/>
      <c r="X95" s="67"/>
      <c r="Y95" s="67"/>
      <c r="Z95" s="67"/>
      <c r="AA95" s="56"/>
    </row>
    <row r="96" spans="1:27" x14ac:dyDescent="0.25">
      <c r="A96" s="67"/>
      <c r="B96" s="67"/>
      <c r="C96" s="67"/>
      <c r="D96" s="67"/>
      <c r="E96" s="67"/>
      <c r="F96" s="67"/>
      <c r="G96" s="68"/>
      <c r="H96" s="67"/>
      <c r="I96" s="67"/>
      <c r="J96" s="67"/>
      <c r="K96" s="67"/>
      <c r="L96" s="67"/>
      <c r="M96" s="67"/>
      <c r="N96" s="67"/>
      <c r="O96" s="67"/>
      <c r="P96" s="67"/>
      <c r="Q96" s="67"/>
      <c r="R96" s="67"/>
      <c r="S96" s="67"/>
      <c r="T96" s="67"/>
      <c r="U96" s="67"/>
      <c r="V96" s="67"/>
      <c r="W96" s="67"/>
      <c r="X96" s="67"/>
      <c r="Y96" s="67"/>
      <c r="Z96" s="67"/>
      <c r="AA96" s="56"/>
    </row>
    <row r="97" spans="1:27" x14ac:dyDescent="0.25">
      <c r="A97" s="67"/>
      <c r="B97" s="67"/>
      <c r="C97" s="67"/>
      <c r="D97" s="67"/>
      <c r="E97" s="67"/>
      <c r="F97" s="67"/>
      <c r="G97" s="68"/>
      <c r="H97" s="67"/>
      <c r="I97" s="67"/>
      <c r="J97" s="67"/>
      <c r="K97" s="67"/>
      <c r="L97" s="67"/>
      <c r="M97" s="67"/>
      <c r="N97" s="67"/>
      <c r="O97" s="67"/>
      <c r="P97" s="67"/>
      <c r="Q97" s="67"/>
      <c r="R97" s="67"/>
      <c r="S97" s="67"/>
      <c r="T97" s="67"/>
      <c r="U97" s="67"/>
      <c r="V97" s="67"/>
      <c r="W97" s="67"/>
      <c r="X97" s="67"/>
      <c r="Y97" s="67"/>
      <c r="Z97" s="67"/>
      <c r="AA97" s="56"/>
    </row>
    <row r="98" spans="1:27" x14ac:dyDescent="0.25">
      <c r="A98" s="67"/>
      <c r="B98" s="67"/>
      <c r="C98" s="67"/>
      <c r="D98" s="67"/>
      <c r="E98" s="67"/>
      <c r="F98" s="67"/>
      <c r="G98" s="68"/>
      <c r="H98" s="67"/>
      <c r="I98" s="67"/>
      <c r="J98" s="67"/>
      <c r="K98" s="67"/>
      <c r="L98" s="67"/>
      <c r="M98" s="67"/>
      <c r="N98" s="67"/>
      <c r="O98" s="67"/>
      <c r="P98" s="67"/>
      <c r="Q98" s="67"/>
      <c r="R98" s="67"/>
      <c r="S98" s="67"/>
      <c r="T98" s="67"/>
      <c r="U98" s="67"/>
      <c r="V98" s="67"/>
      <c r="W98" s="67"/>
      <c r="X98" s="67"/>
      <c r="Y98" s="67"/>
      <c r="Z98" s="67"/>
      <c r="AA98" s="56"/>
    </row>
    <row r="99" spans="1:27" x14ac:dyDescent="0.25">
      <c r="A99" s="67"/>
      <c r="B99" s="67"/>
      <c r="C99" s="67"/>
      <c r="D99" s="67"/>
      <c r="E99" s="67"/>
      <c r="F99" s="67"/>
      <c r="G99" s="68"/>
      <c r="H99" s="67"/>
      <c r="I99" s="67"/>
      <c r="J99" s="67"/>
      <c r="K99" s="67"/>
      <c r="L99" s="67"/>
      <c r="M99" s="67"/>
      <c r="N99" s="67"/>
      <c r="O99" s="67"/>
      <c r="P99" s="67"/>
      <c r="Q99" s="67"/>
      <c r="R99" s="67"/>
      <c r="S99" s="67"/>
      <c r="T99" s="67"/>
      <c r="U99" s="67"/>
      <c r="V99" s="67"/>
      <c r="W99" s="67"/>
      <c r="X99" s="67"/>
      <c r="Y99" s="67"/>
      <c r="Z99" s="67"/>
      <c r="AA99" s="56"/>
    </row>
    <row r="100" spans="1:27" x14ac:dyDescent="0.25">
      <c r="A100" s="58"/>
      <c r="B100" s="58"/>
      <c r="C100" s="58"/>
      <c r="D100" s="58"/>
      <c r="E100" s="58"/>
      <c r="F100" s="58"/>
      <c r="G100" s="59"/>
      <c r="H100" s="58"/>
      <c r="I100" s="58"/>
      <c r="J100" s="58"/>
      <c r="K100" s="58"/>
      <c r="L100" s="58"/>
      <c r="M100" s="58"/>
      <c r="N100" s="58"/>
      <c r="O100" s="58"/>
      <c r="P100" s="58"/>
      <c r="Q100" s="58"/>
      <c r="R100" s="58"/>
      <c r="S100" s="58"/>
      <c r="T100" s="58"/>
      <c r="U100" s="58"/>
      <c r="V100" s="58"/>
      <c r="W100" s="58"/>
      <c r="X100" s="58"/>
      <c r="Y100" s="58"/>
      <c r="Z100" s="58"/>
      <c r="AA100" s="56"/>
    </row>
  </sheetData>
  <sheetProtection algorithmName="SHA-512" hashValue="IUA5uLyW0mrRZkyPJKKIRFc3+5hN1b0hecgM8dzHCtjOUVEzhalBCWCXogf3HWMbmjeUOfL+5zp1szCxL2zuFA==" saltValue="VgYrN/Jn0z4UXKKRqvjtkQ==" spinCount="100000" sheet="1" objects="1" scenarios="1" selectLockedCells="1"/>
  <mergeCells count="1">
    <mergeCell ref="N3:O3"/>
  </mergeCells>
  <conditionalFormatting sqref="H7">
    <cfRule type="cellIs" dxfId="10" priority="2" operator="greaterThan">
      <formula>VIN_op_max_56</formula>
    </cfRule>
    <cfRule type="cellIs" dxfId="9" priority="17" operator="greaterThan">
      <formula>VIN_op_max</formula>
    </cfRule>
    <cfRule type="cellIs" dxfId="8" priority="18" operator="lessThan">
      <formula>VIN_op_min</formula>
    </cfRule>
  </conditionalFormatting>
  <conditionalFormatting sqref="H8">
    <cfRule type="cellIs" dxfId="7" priority="16" operator="notBetween">
      <formula>$H$7</formula>
      <formula>$H$9</formula>
    </cfRule>
  </conditionalFormatting>
  <conditionalFormatting sqref="H9">
    <cfRule type="cellIs" dxfId="6" priority="1" operator="greaterThan">
      <formula>VIN_op_max_56</formula>
    </cfRule>
    <cfRule type="cellIs" dxfId="5" priority="13" operator="greaterThan">
      <formula>VIN_op_max</formula>
    </cfRule>
    <cfRule type="cellIs" dxfId="4" priority="14" operator="lessThan">
      <formula>VIN_op_min</formula>
    </cfRule>
  </conditionalFormatting>
  <conditionalFormatting sqref="H17">
    <cfRule type="cellIs" dxfId="3" priority="6" operator="greaterThan">
      <formula>$H$16</formula>
    </cfRule>
  </conditionalFormatting>
  <conditionalFormatting sqref="H57">
    <cfRule type="expression" dxfId="1" priority="11">
      <formula>$H$8&gt;$H$9</formula>
    </cfRule>
    <cfRule type="expression" dxfId="0" priority="12">
      <formula>$H$8&lt;$H$7</formula>
    </cfRule>
  </conditionalFormatting>
  <dataValidations count="1">
    <dataValidation type="list" allowBlank="1" showInputMessage="1" showErrorMessage="1" sqref="H18" xr:uid="{B6CBC9E4-52B2-4FA8-BCFD-24B327448BB5}">
      <formula1>CondMode</formula1>
    </dataValidation>
  </dataValidations>
  <hyperlinks>
    <hyperlink ref="N3" location="About!A1" display="TERMS OF USE" xr:uid="{EE270A3B-8816-419E-84BC-D008FEAD0366}"/>
    <hyperlink ref="N3:O3" location="Licenses!A1" display="TERMS OF USE" xr:uid="{7B8CA94F-4734-4CAD-88EF-98DE4E41009B}"/>
  </hyperlinks>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70" r:id="rId4" name="Drop Down 146">
              <controlPr defaultSize="0" print="0" autoLine="0" autoPict="0" altText="This is just there to fix the excel issue with comments and linked pictures">
                <anchor moveWithCells="1">
                  <from>
                    <xdr:col>14</xdr:col>
                    <xdr:colOff>590550</xdr:colOff>
                    <xdr:row>30</xdr:row>
                    <xdr:rowOff>85725</xdr:rowOff>
                  </from>
                  <to>
                    <xdr:col>16</xdr:col>
                    <xdr:colOff>219075</xdr:colOff>
                    <xdr:row>31</xdr:row>
                    <xdr:rowOff>114300</xdr:rowOff>
                  </to>
                </anchor>
              </controlPr>
            </control>
          </mc:Choice>
        </mc:AlternateContent>
        <mc:AlternateContent xmlns:mc="http://schemas.openxmlformats.org/markup-compatibility/2006">
          <mc:Choice Requires="x14">
            <control shapeId="1060" r:id="rId5" name="Spinner 36">
              <controlPr defaultSize="0" autoPict="0">
                <anchor moveWithCells="1" sizeWithCells="1">
                  <from>
                    <xdr:col>7</xdr:col>
                    <xdr:colOff>504825</xdr:colOff>
                    <xdr:row>56</xdr:row>
                    <xdr:rowOff>0</xdr:rowOff>
                  </from>
                  <to>
                    <xdr:col>8</xdr:col>
                    <xdr:colOff>9525</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 id="{AB53E77D-5294-4F50-832B-89A6F7F8A8A1}">
            <xm:f>NOT(Variable_Management!$K$30)</xm:f>
            <x14:dxf>
              <font>
                <color rgb="FFC00000"/>
              </font>
              <fill>
                <patternFill>
                  <bgColor theme="5" tint="0.59996337778862885"/>
                </patternFill>
              </fill>
            </x14:dxf>
          </x14:cfRule>
          <xm:sqref>H23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256"/>
  <sheetViews>
    <sheetView zoomScale="85" zoomScaleNormal="85" workbookViewId="0">
      <pane ySplit="5" topLeftCell="A48" activePane="bottomLeft" state="frozen"/>
      <selection activeCell="N8" sqref="N8"/>
      <selection pane="bottomLeft" activeCell="B89" sqref="B89"/>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7109375" customWidth="1"/>
    <col min="6" max="6" width="14.7109375" customWidth="1"/>
    <col min="7" max="7" width="15.140625" customWidth="1"/>
    <col min="8" max="9" width="12.5703125" customWidth="1"/>
    <col min="11" max="11" width="12.85546875" bestFit="1" customWidth="1"/>
    <col min="12" max="14" width="12.28515625" bestFit="1" customWidth="1"/>
  </cols>
  <sheetData>
    <row r="1" spans="1:17" ht="27.75" x14ac:dyDescent="0.4">
      <c r="A1" s="229" t="s">
        <v>15</v>
      </c>
      <c r="B1" s="229"/>
      <c r="C1" s="229"/>
      <c r="D1" s="229"/>
      <c r="E1" s="229"/>
      <c r="F1" s="229"/>
      <c r="G1" s="229"/>
      <c r="H1" s="229"/>
      <c r="I1" s="229"/>
      <c r="J1" s="229"/>
    </row>
    <row r="2" spans="1:17" x14ac:dyDescent="0.25">
      <c r="A2" s="5"/>
      <c r="B2" s="5" t="s">
        <v>16</v>
      </c>
      <c r="C2" s="6"/>
      <c r="D2" s="4"/>
      <c r="E2" s="5"/>
      <c r="F2" s="5"/>
      <c r="G2" s="5"/>
      <c r="H2" s="5"/>
      <c r="I2" s="5"/>
      <c r="J2" s="5"/>
    </row>
    <row r="3" spans="1:17" x14ac:dyDescent="0.25">
      <c r="A3" s="5"/>
      <c r="B3" s="5" t="s">
        <v>17</v>
      </c>
      <c r="C3" s="7"/>
      <c r="D3" s="4"/>
      <c r="E3" s="5"/>
      <c r="F3" s="14" t="s">
        <v>63</v>
      </c>
      <c r="G3" s="15" t="s">
        <v>64</v>
      </c>
      <c r="H3" s="26" t="s">
        <v>67</v>
      </c>
      <c r="I3" s="5"/>
      <c r="J3" s="5"/>
    </row>
    <row r="4" spans="1:17" x14ac:dyDescent="0.25">
      <c r="A4" s="5"/>
      <c r="B4" s="5" t="s">
        <v>18</v>
      </c>
      <c r="C4" s="8"/>
      <c r="D4" s="4"/>
      <c r="E4" s="5"/>
      <c r="F4" s="5"/>
      <c r="G4" s="5"/>
      <c r="H4" s="5"/>
      <c r="I4" s="5"/>
      <c r="J4" s="5"/>
    </row>
    <row r="5" spans="1:17" x14ac:dyDescent="0.25">
      <c r="A5" s="9" t="s">
        <v>19</v>
      </c>
      <c r="B5" s="9" t="s">
        <v>20</v>
      </c>
      <c r="C5" s="9" t="s">
        <v>21</v>
      </c>
      <c r="D5" s="4"/>
      <c r="E5" s="230" t="s">
        <v>22</v>
      </c>
      <c r="F5" s="230"/>
      <c r="G5" s="230"/>
      <c r="H5" s="230"/>
      <c r="I5" s="5"/>
      <c r="J5" s="9" t="s">
        <v>23</v>
      </c>
      <c r="K5" s="9" t="s">
        <v>71</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15</v>
      </c>
      <c r="C8" t="s">
        <v>10</v>
      </c>
      <c r="E8" t="s">
        <v>29</v>
      </c>
      <c r="K8">
        <f>IF(VIN_min&lt;VIN_min,1,IF(VIN_nom&gt;VIN_max,1,0))</f>
        <v>0</v>
      </c>
    </row>
    <row r="9" spans="1:17" x14ac:dyDescent="0.25">
      <c r="A9" t="s">
        <v>27</v>
      </c>
      <c r="B9" s="3">
        <f>'Design Converter'!H9</f>
        <v>22</v>
      </c>
      <c r="C9" t="s">
        <v>10</v>
      </c>
      <c r="E9" t="s">
        <v>30</v>
      </c>
    </row>
    <row r="10" spans="1:17" x14ac:dyDescent="0.25">
      <c r="A10" t="s">
        <v>68</v>
      </c>
      <c r="B10" s="3">
        <f>'Design Converter'!H12*1000</f>
        <v>2200000</v>
      </c>
      <c r="C10" t="s">
        <v>69</v>
      </c>
      <c r="E10" t="s">
        <v>70</v>
      </c>
    </row>
    <row r="11" spans="1:17" x14ac:dyDescent="0.25">
      <c r="A11" t="s">
        <v>73</v>
      </c>
      <c r="B11" s="18">
        <f>((2.21*10^10)/Fsw)-955</f>
        <v>9090.454545454546</v>
      </c>
      <c r="C11" s="2" t="s">
        <v>36</v>
      </c>
      <c r="E11" t="s">
        <v>74</v>
      </c>
    </row>
    <row r="13" spans="1:17" x14ac:dyDescent="0.25">
      <c r="A13" t="s">
        <v>31</v>
      </c>
      <c r="B13" s="3">
        <f>'Design Converter'!H10</f>
        <v>53.5</v>
      </c>
      <c r="C13" t="s">
        <v>10</v>
      </c>
      <c r="E13" t="s">
        <v>32</v>
      </c>
    </row>
    <row r="14" spans="1:17" x14ac:dyDescent="0.25">
      <c r="A14" t="s">
        <v>33</v>
      </c>
      <c r="B14" s="3">
        <f>'Design Converter'!H11</f>
        <v>6</v>
      </c>
      <c r="C14" t="s">
        <v>11</v>
      </c>
      <c r="E14" t="s">
        <v>34</v>
      </c>
    </row>
    <row r="15" spans="1:17" x14ac:dyDescent="0.25">
      <c r="A15" t="s">
        <v>35</v>
      </c>
      <c r="B15" s="1">
        <f>VOUT/IOUT</f>
        <v>8.9166666666666661</v>
      </c>
      <c r="C15" s="2" t="s">
        <v>36</v>
      </c>
      <c r="E15" t="s">
        <v>42</v>
      </c>
    </row>
    <row r="16" spans="1:17" x14ac:dyDescent="0.25">
      <c r="A16" t="s">
        <v>37</v>
      </c>
      <c r="B16" s="1">
        <f>VOUT*IOUT</f>
        <v>321</v>
      </c>
      <c r="C16" s="2" t="s">
        <v>38</v>
      </c>
      <c r="E16" t="s">
        <v>41</v>
      </c>
    </row>
    <row r="17" spans="1:19" x14ac:dyDescent="0.25">
      <c r="A17" t="s">
        <v>39</v>
      </c>
      <c r="B17" s="11">
        <f>'Design Converter'!H14/100</f>
        <v>0.9</v>
      </c>
      <c r="E17" t="s">
        <v>40</v>
      </c>
    </row>
    <row r="19" spans="1:19" x14ac:dyDescent="0.25">
      <c r="A19" s="33" t="s">
        <v>519</v>
      </c>
    </row>
    <row r="20" spans="1:19" x14ac:dyDescent="0.25">
      <c r="A20" t="s">
        <v>43</v>
      </c>
      <c r="B20" s="1">
        <f>IF(B$36="DCM",B55,B39)</f>
        <v>0.79439252336448596</v>
      </c>
      <c r="E20" t="s">
        <v>44</v>
      </c>
    </row>
    <row r="21" spans="1:19" x14ac:dyDescent="0.25">
      <c r="A21" t="s">
        <v>45</v>
      </c>
      <c r="B21" s="12">
        <f>Constants!B20</f>
        <v>0.85</v>
      </c>
      <c r="E21" t="s">
        <v>46</v>
      </c>
      <c r="K21">
        <f>IF(((1-D_limit_nom)/Constants!B12)&lt;Fsw,1,0)</f>
        <v>1</v>
      </c>
    </row>
    <row r="23" spans="1:19" x14ac:dyDescent="0.25">
      <c r="A23" t="s">
        <v>82</v>
      </c>
      <c r="B23" s="1">
        <f>IF(B$36="DCM",B58,B42)</f>
        <v>0.79439252336448596</v>
      </c>
      <c r="E23" t="s">
        <v>506</v>
      </c>
    </row>
    <row r="24" spans="1:19" x14ac:dyDescent="0.25">
      <c r="B24" s="13">
        <f>IF(B$36="DCM",B59,B43)</f>
        <v>3.610875106202209E-7</v>
      </c>
      <c r="C24" t="s">
        <v>54</v>
      </c>
      <c r="E24" t="s">
        <v>333</v>
      </c>
    </row>
    <row r="25" spans="1:19" x14ac:dyDescent="0.25">
      <c r="A25" t="s">
        <v>92</v>
      </c>
      <c r="B25" s="17">
        <f>IF(B$36="DCM",B60,B44)</f>
        <v>29.181818181818183</v>
      </c>
      <c r="C25" t="s">
        <v>11</v>
      </c>
      <c r="E25" t="s">
        <v>95</v>
      </c>
      <c r="K25" t="s">
        <v>559</v>
      </c>
      <c r="L25" t="s">
        <v>560</v>
      </c>
      <c r="M25" t="s">
        <v>572</v>
      </c>
    </row>
    <row r="26" spans="1:19" x14ac:dyDescent="0.25">
      <c r="J26" t="s">
        <v>561</v>
      </c>
      <c r="K26" t="b">
        <f>Dc_CCM_VIN_min&lt;B58</f>
        <v>1</v>
      </c>
      <c r="L26" t="b">
        <f>Dc_CCM_VIN_nom&lt;Dc_DCM_VIN_nom</f>
        <v>1</v>
      </c>
      <c r="M26" t="b">
        <f>Dc_CCM_VIN_max&lt;B66</f>
        <v>1</v>
      </c>
    </row>
    <row r="27" spans="1:19" x14ac:dyDescent="0.25">
      <c r="A27" t="s">
        <v>83</v>
      </c>
      <c r="B27" s="1">
        <f>IF(B$36="DCM",B62,B46)</f>
        <v>0.71962616822429903</v>
      </c>
      <c r="E27" t="s">
        <v>507</v>
      </c>
      <c r="J27" t="s">
        <v>565</v>
      </c>
      <c r="K27" t="b">
        <f>AND(K26:M26)</f>
        <v>1</v>
      </c>
    </row>
    <row r="28" spans="1:19" x14ac:dyDescent="0.25">
      <c r="B28" s="13">
        <f>IF(B$36="DCM",B63,B47)</f>
        <v>3.2710280373831776E-7</v>
      </c>
      <c r="C28" t="s">
        <v>54</v>
      </c>
      <c r="E28" t="s">
        <v>333</v>
      </c>
      <c r="J28" t="s">
        <v>566</v>
      </c>
      <c r="K28" t="b">
        <f>NOT(OR(K26:M26))</f>
        <v>0</v>
      </c>
    </row>
    <row r="29" spans="1:19" x14ac:dyDescent="0.25">
      <c r="A29" t="s">
        <v>93</v>
      </c>
      <c r="B29" s="17">
        <f>IF(B$36="DCM",B64,B48)</f>
        <v>21.4</v>
      </c>
      <c r="C29" t="s">
        <v>11</v>
      </c>
      <c r="E29" t="s">
        <v>96</v>
      </c>
      <c r="J29" t="s">
        <v>562</v>
      </c>
      <c r="K29" t="b">
        <f>NOT(OR(K27:K28))</f>
        <v>0</v>
      </c>
    </row>
    <row r="30" spans="1:19" x14ac:dyDescent="0.25">
      <c r="J30" t="s">
        <v>567</v>
      </c>
      <c r="K30" t="b">
        <f>IF(Dc_Mode="CCM",K27,IF(Dc_Mode="DCM",K28,K29))</f>
        <v>1</v>
      </c>
      <c r="P30" t="s">
        <v>557</v>
      </c>
      <c r="Q30" t="s">
        <v>555</v>
      </c>
      <c r="R30" t="s">
        <v>556</v>
      </c>
      <c r="S30" t="s">
        <v>558</v>
      </c>
    </row>
    <row r="31" spans="1:19" x14ac:dyDescent="0.25">
      <c r="A31" t="s">
        <v>84</v>
      </c>
      <c r="B31" s="1">
        <f>IF(B$36="DCM",B66,B50)</f>
        <v>0.58878504672897192</v>
      </c>
      <c r="E31" t="s">
        <v>508</v>
      </c>
      <c r="K31" t="s">
        <v>554</v>
      </c>
      <c r="L31" s="137">
        <f>VIN_min/(Fsw*2*IOUT)*Dc_VIN_min*(1-Dc_VIN_min)</f>
        <v>6.8055434244621073E-8</v>
      </c>
      <c r="M31" s="137">
        <f>VIN_nom/(Fsw*2*IOUT)*Dc_VIN_nom*(1-Dc_VIN_nom)</f>
        <v>1.1463883308585903E-7</v>
      </c>
      <c r="N31" s="137">
        <f>VIN_max/(Fsw*2*IOUT)*Dc_VIN_max*(1-Dc_VIN_max)</f>
        <v>2.017643462311119E-7</v>
      </c>
      <c r="P31" s="137">
        <f>Q31*0.9</f>
        <v>6.1249890820158968E-8</v>
      </c>
      <c r="Q31" s="137">
        <f>MIN(L31:N31)</f>
        <v>6.8055434244621073E-8</v>
      </c>
      <c r="R31" s="137">
        <f>MAX(L31:N31)</f>
        <v>2.017643462311119E-7</v>
      </c>
      <c r="S31" s="137">
        <f>R31*1.1</f>
        <v>2.219407808542231E-7</v>
      </c>
    </row>
    <row r="32" spans="1:19" x14ac:dyDescent="0.25">
      <c r="B32" s="13">
        <f>IF(B$36="DCM",B67,B51)</f>
        <v>2.6762956669498723E-7</v>
      </c>
      <c r="C32" t="s">
        <v>54</v>
      </c>
      <c r="E32" t="s">
        <v>333</v>
      </c>
    </row>
    <row r="33" spans="1:14" x14ac:dyDescent="0.25">
      <c r="A33" t="s">
        <v>94</v>
      </c>
      <c r="B33" s="17">
        <f>IF(B$36="DCM",B68,B52)</f>
        <v>14.590909090909092</v>
      </c>
      <c r="C33" t="s">
        <v>11</v>
      </c>
      <c r="E33" t="s">
        <v>97</v>
      </c>
    </row>
    <row r="34" spans="1:14" x14ac:dyDescent="0.25">
      <c r="N34" t="s">
        <v>553</v>
      </c>
    </row>
    <row r="35" spans="1:14" x14ac:dyDescent="0.25">
      <c r="A35" t="s">
        <v>534</v>
      </c>
      <c r="B35" s="140" t="str">
        <f>IF(AND(K35&lt;Lm,L35&lt;Lm,M35&lt;Lm),"CCM",IF(AND(K35&gt;Lm,L35&gt;Lm,M35&gt;Lm),"DCM","CCM/DCM"))</f>
        <v>CCM</v>
      </c>
      <c r="E35" t="s">
        <v>517</v>
      </c>
      <c r="K35" s="137">
        <f>VIN_min/(Fsw*2*IOUT)*Dc_CCM_VIN_min*(1-Dc_CCM_VIN_min)</f>
        <v>6.8055434244621073E-8</v>
      </c>
      <c r="L35" s="137">
        <f>IF(AND(B50&lt;0.5,B42&gt;0.5),VIN_min/(Fsw*2*IOUT)*0.5*(1-0.5),VIN_min/(Fsw*2*IOUT)*Dc_CCM_VIN_nom*(1-Dc_CCM_VIN_nom))</f>
        <v>8.4068477596296629E-8</v>
      </c>
      <c r="M35" s="137">
        <f>VIN_min/(Fsw*2*IOUT)*Dc_CCM_VIN_max*(1-Dc_VIN_max)</f>
        <v>1.0088217311555595E-7</v>
      </c>
      <c r="N35" t="b">
        <f>IF(Dc_Mode="CCM",IF(Lm&lt;MAX(K35,L35,M35),TRUE,IF(Lm&gt;MIN(K35,L35,M35),TRUE,FALSE)))</f>
        <v>1</v>
      </c>
    </row>
    <row r="36" spans="1:14" x14ac:dyDescent="0.25">
      <c r="A36" t="s">
        <v>533</v>
      </c>
      <c r="B36" s="139" t="str">
        <f>'Design Converter'!H18</f>
        <v>CCM</v>
      </c>
      <c r="E36" t="s">
        <v>516</v>
      </c>
      <c r="K36" t="str">
        <f>IF(OR(B35="CCM",B35="CCM/DCM"),"CCM","DCM")</f>
        <v>CCM</v>
      </c>
      <c r="L36" t="str">
        <f>IF(B35="CCM/DCM","DCM","")</f>
        <v/>
      </c>
    </row>
    <row r="38" spans="1:14" x14ac:dyDescent="0.25">
      <c r="A38" s="33" t="s">
        <v>495</v>
      </c>
    </row>
    <row r="39" spans="1:14" x14ac:dyDescent="0.25">
      <c r="A39" t="s">
        <v>509</v>
      </c>
      <c r="B39" s="1">
        <f>1-VIN_min/VOUT</f>
        <v>0.79439252336448596</v>
      </c>
      <c r="E39" t="s">
        <v>44</v>
      </c>
    </row>
    <row r="42" spans="1:14" x14ac:dyDescent="0.25">
      <c r="A42" t="s">
        <v>510</v>
      </c>
      <c r="B42" s="1">
        <f>1-VIN_min/VOUT</f>
        <v>0.79439252336448596</v>
      </c>
      <c r="E42" t="s">
        <v>85</v>
      </c>
    </row>
    <row r="43" spans="1:14" x14ac:dyDescent="0.25">
      <c r="B43" s="13">
        <f>B42/Fsw</f>
        <v>3.610875106202209E-7</v>
      </c>
      <c r="C43" t="s">
        <v>54</v>
      </c>
      <c r="E43" t="s">
        <v>333</v>
      </c>
    </row>
    <row r="44" spans="1:14" x14ac:dyDescent="0.25">
      <c r="A44" t="s">
        <v>511</v>
      </c>
      <c r="B44" s="17">
        <f>(VOUT*IOUT)/(VIN_min)</f>
        <v>29.181818181818183</v>
      </c>
      <c r="C44" t="s">
        <v>11</v>
      </c>
      <c r="E44" t="s">
        <v>95</v>
      </c>
    </row>
    <row r="46" spans="1:14" x14ac:dyDescent="0.25">
      <c r="A46" t="s">
        <v>512</v>
      </c>
      <c r="B46" s="1">
        <f>1-VIN_nom/VOUT</f>
        <v>0.71962616822429903</v>
      </c>
      <c r="E46" t="s">
        <v>86</v>
      </c>
    </row>
    <row r="47" spans="1:14" x14ac:dyDescent="0.25">
      <c r="B47" s="13">
        <f>B46/Fsw</f>
        <v>3.2710280373831776E-7</v>
      </c>
      <c r="C47" t="s">
        <v>54</v>
      </c>
      <c r="E47" t="s">
        <v>333</v>
      </c>
    </row>
    <row r="48" spans="1:14" x14ac:dyDescent="0.25">
      <c r="A48" t="s">
        <v>513</v>
      </c>
      <c r="B48" s="17">
        <f>(VOUT*IOUT)/(VIN_nom)</f>
        <v>21.4</v>
      </c>
      <c r="C48" t="s">
        <v>11</v>
      </c>
      <c r="E48" t="s">
        <v>96</v>
      </c>
    </row>
    <row r="50" spans="1:5" x14ac:dyDescent="0.25">
      <c r="A50" t="s">
        <v>514</v>
      </c>
      <c r="B50" s="1">
        <f>1-VIN_max/VOUT</f>
        <v>0.58878504672897192</v>
      </c>
      <c r="E50" t="s">
        <v>87</v>
      </c>
    </row>
    <row r="51" spans="1:5" x14ac:dyDescent="0.25">
      <c r="B51" s="13">
        <f>B50/Fsw</f>
        <v>2.6762956669498723E-7</v>
      </c>
      <c r="C51" t="s">
        <v>54</v>
      </c>
      <c r="E51" t="s">
        <v>333</v>
      </c>
    </row>
    <row r="52" spans="1:5" x14ac:dyDescent="0.25">
      <c r="A52" t="s">
        <v>515</v>
      </c>
      <c r="B52" s="17">
        <f>(VOUT*IOUT)/(VIN_max)</f>
        <v>14.590909090909092</v>
      </c>
      <c r="C52" t="s">
        <v>11</v>
      </c>
      <c r="E52" t="s">
        <v>97</v>
      </c>
    </row>
    <row r="54" spans="1:5" x14ac:dyDescent="0.25">
      <c r="A54" s="33" t="s">
        <v>496</v>
      </c>
    </row>
    <row r="55" spans="1:5" x14ac:dyDescent="0.25">
      <c r="A55" t="s">
        <v>497</v>
      </c>
      <c r="B55" s="1">
        <f>1/VIN_min*SQRT(2*Lm*(VOUT-VIN_min)*Fsw*IOUT)</f>
        <v>1.8270691881211882</v>
      </c>
      <c r="E55" t="s">
        <v>44</v>
      </c>
    </row>
    <row r="58" spans="1:5" x14ac:dyDescent="0.25">
      <c r="A58" t="s">
        <v>501</v>
      </c>
      <c r="B58" s="1">
        <f>1/VIN_min*SQRT(2*Lm*(VOUT-VIN_min)*Fsw*IOUT)</f>
        <v>1.8270691881211882</v>
      </c>
      <c r="E58" t="s">
        <v>498</v>
      </c>
    </row>
    <row r="59" spans="1:5" x14ac:dyDescent="0.25">
      <c r="B59" s="13">
        <f>B58/Fsw</f>
        <v>8.3048599460054016E-7</v>
      </c>
      <c r="C59" t="s">
        <v>54</v>
      </c>
      <c r="E59" t="s">
        <v>333</v>
      </c>
    </row>
    <row r="60" spans="1:5" x14ac:dyDescent="0.25">
      <c r="A60" t="s">
        <v>502</v>
      </c>
      <c r="B60" s="17">
        <f>(VOUT*IOUT)/(VIN_min)</f>
        <v>29.181818181818183</v>
      </c>
      <c r="C60" t="s">
        <v>11</v>
      </c>
      <c r="E60" t="s">
        <v>95</v>
      </c>
    </row>
    <row r="62" spans="1:5" x14ac:dyDescent="0.25">
      <c r="A62" t="s">
        <v>503</v>
      </c>
      <c r="B62" s="1">
        <f>1/VIN_nom*SQRT(2*Lm*(VOUT-VIN_nom)*Fsw*IOUT)</f>
        <v>1.2752411536646706</v>
      </c>
      <c r="E62" t="s">
        <v>499</v>
      </c>
    </row>
    <row r="63" spans="1:5" x14ac:dyDescent="0.25">
      <c r="B63" s="13">
        <f>B62/Fsw</f>
        <v>5.7965506984757759E-7</v>
      </c>
      <c r="C63" t="s">
        <v>54</v>
      </c>
      <c r="E63" t="s">
        <v>333</v>
      </c>
    </row>
    <row r="64" spans="1:5" x14ac:dyDescent="0.25">
      <c r="A64" t="s">
        <v>504</v>
      </c>
      <c r="B64" s="17">
        <f>(VOUT*IOUT)/(VIN_nom)</f>
        <v>21.4</v>
      </c>
      <c r="C64" t="s">
        <v>11</v>
      </c>
      <c r="E64" t="s">
        <v>96</v>
      </c>
    </row>
    <row r="66" spans="1:5" x14ac:dyDescent="0.25">
      <c r="A66" t="s">
        <v>505</v>
      </c>
      <c r="B66" s="1">
        <f>1/VIN_max*SQRT(2*Lm*(VOUT-VIN_max)*Fsw*IOUT)</f>
        <v>0.78647660775477268</v>
      </c>
      <c r="E66" t="s">
        <v>500</v>
      </c>
    </row>
    <row r="67" spans="1:5" x14ac:dyDescent="0.25">
      <c r="B67" s="13">
        <f>B66/Fsw</f>
        <v>3.5748936716126029E-7</v>
      </c>
      <c r="C67" t="s">
        <v>54</v>
      </c>
      <c r="E67" t="s">
        <v>333</v>
      </c>
    </row>
    <row r="68" spans="1:5" x14ac:dyDescent="0.25">
      <c r="A68" t="s">
        <v>94</v>
      </c>
      <c r="B68" s="17">
        <f>(VOUT*IOUT)/(VIN_max)</f>
        <v>14.590909090909092</v>
      </c>
      <c r="C68" t="s">
        <v>11</v>
      </c>
      <c r="E68" t="s">
        <v>97</v>
      </c>
    </row>
    <row r="70" spans="1:5" x14ac:dyDescent="0.25">
      <c r="A70" s="19" t="s">
        <v>77</v>
      </c>
    </row>
    <row r="71" spans="1:5" x14ac:dyDescent="0.25">
      <c r="A71" t="s">
        <v>99</v>
      </c>
      <c r="B71" s="3">
        <f>'Design Converter'!H21/100</f>
        <v>0.6</v>
      </c>
      <c r="E71" t="s">
        <v>122</v>
      </c>
    </row>
    <row r="72" spans="1:5" x14ac:dyDescent="0.25">
      <c r="A72" s="22" t="s">
        <v>107</v>
      </c>
    </row>
    <row r="73" spans="1:5" x14ac:dyDescent="0.25">
      <c r="A73" t="s">
        <v>90</v>
      </c>
      <c r="B73" s="25">
        <f>(VIN_min*Dc_VIN_min)/(IL_avg_VIN_min*ILrip*Fsw)</f>
        <v>2.2685144748207025E-7</v>
      </c>
      <c r="C73" t="s">
        <v>98</v>
      </c>
      <c r="E73" t="s">
        <v>91</v>
      </c>
    </row>
    <row r="74" spans="1:5" x14ac:dyDescent="0.25">
      <c r="A74" t="s">
        <v>569</v>
      </c>
      <c r="B74" s="25">
        <f>(VIN_nom*Dc_VIN_nom)/(IL_avg_VIN_nom*ILrip*Fsw)</f>
        <v>3.8212944361953015E-7</v>
      </c>
      <c r="C74" t="s">
        <v>98</v>
      </c>
      <c r="E74" t="s">
        <v>570</v>
      </c>
    </row>
    <row r="75" spans="1:5" x14ac:dyDescent="0.25">
      <c r="A75" t="s">
        <v>568</v>
      </c>
      <c r="B75" s="25">
        <f>(VIN_max*Dc_VIN_max)/(IL_avg_VIN_max*ILrip*Fsw)</f>
        <v>6.7254782077037282E-7</v>
      </c>
      <c r="C75" t="s">
        <v>98</v>
      </c>
      <c r="E75" t="s">
        <v>571</v>
      </c>
    </row>
    <row r="76" spans="1:5" x14ac:dyDescent="0.25">
      <c r="A76" t="s">
        <v>100</v>
      </c>
      <c r="B76" s="25">
        <f>AVERAGE(B73:B75)</f>
        <v>4.2717623729065771E-7</v>
      </c>
      <c r="C76" t="s">
        <v>98</v>
      </c>
      <c r="E76" t="s">
        <v>101</v>
      </c>
    </row>
    <row r="78" spans="1:5" x14ac:dyDescent="0.25">
      <c r="A78" s="22" t="s">
        <v>108</v>
      </c>
    </row>
    <row r="79" spans="1:5" x14ac:dyDescent="0.25">
      <c r="A79" t="s">
        <v>133</v>
      </c>
      <c r="B79" s="12">
        <v>0.33</v>
      </c>
      <c r="C79" t="s">
        <v>13</v>
      </c>
      <c r="E79" t="s">
        <v>132</v>
      </c>
    </row>
    <row r="80" spans="1:5" x14ac:dyDescent="0.25">
      <c r="A80" t="s">
        <v>109</v>
      </c>
      <c r="B80" s="1">
        <f>IF(Dc_VIN_max&lt;Dc_rip_max,VOUT*(1-Dc_rip_max),VOUT*(1-Dc_VIN_max))</f>
        <v>22.000000000000004</v>
      </c>
      <c r="C80" t="s">
        <v>10</v>
      </c>
      <c r="E80" t="s">
        <v>136</v>
      </c>
    </row>
    <row r="81" spans="1:5" x14ac:dyDescent="0.25">
      <c r="A81" t="s">
        <v>110</v>
      </c>
      <c r="B81" s="16">
        <f>(VOUT*IOUT)/(VIN_33)</f>
        <v>14.590909090909088</v>
      </c>
      <c r="C81" t="s">
        <v>11</v>
      </c>
      <c r="E81" t="s">
        <v>135</v>
      </c>
    </row>
    <row r="82" spans="1:5" x14ac:dyDescent="0.25">
      <c r="A82" t="s">
        <v>111</v>
      </c>
      <c r="B82" s="25">
        <f>(VIN_33*0.33)/(IIN_33*ILrip*Fsw)</f>
        <v>3.7694704049844253E-7</v>
      </c>
      <c r="C82" t="s">
        <v>98</v>
      </c>
      <c r="E82" t="s">
        <v>134</v>
      </c>
    </row>
    <row r="84" spans="1:5" x14ac:dyDescent="0.25">
      <c r="A84" t="s">
        <v>102</v>
      </c>
      <c r="B84" s="21">
        <f>'Design Converter'!H23*10^-6</f>
        <v>3.5999999999999999E-7</v>
      </c>
      <c r="C84" t="s">
        <v>98</v>
      </c>
      <c r="E84" t="s">
        <v>103</v>
      </c>
    </row>
    <row r="85" spans="1:5" x14ac:dyDescent="0.25">
      <c r="A85" t="s">
        <v>104</v>
      </c>
      <c r="B85" s="3">
        <f>'Design Converter'!H24*10^-3</f>
        <v>2E-3</v>
      </c>
      <c r="C85" s="2" t="s">
        <v>36</v>
      </c>
      <c r="E85" t="s">
        <v>137</v>
      </c>
    </row>
    <row r="86" spans="1:5" x14ac:dyDescent="0.25">
      <c r="A86" t="s">
        <v>138</v>
      </c>
      <c r="B86" s="12">
        <v>0.2</v>
      </c>
      <c r="C86" s="2"/>
      <c r="E86" t="s">
        <v>139</v>
      </c>
    </row>
    <row r="88" spans="1:5" x14ac:dyDescent="0.25">
      <c r="A88" s="22" t="s">
        <v>573</v>
      </c>
      <c r="C88" s="2"/>
    </row>
    <row r="89" spans="1:5" x14ac:dyDescent="0.25">
      <c r="A89" t="s">
        <v>574</v>
      </c>
      <c r="B89" s="227">
        <f>VIN_min/(2*Fsw*IOUT)*(1-VIN_min/VOUT)*(1-(1-VIN_min/VOUT))</f>
        <v>6.8055434244621073E-8</v>
      </c>
      <c r="C89" s="2"/>
    </row>
    <row r="90" spans="1:5" x14ac:dyDescent="0.25">
      <c r="C90" s="2"/>
    </row>
    <row r="91" spans="1:5" x14ac:dyDescent="0.25">
      <c r="A91" s="22" t="s">
        <v>495</v>
      </c>
      <c r="C91" s="2"/>
    </row>
    <row r="92" spans="1:5" x14ac:dyDescent="0.25">
      <c r="A92" t="s">
        <v>115</v>
      </c>
      <c r="B92" s="16">
        <f>(VIN_min*Dc_VIN_min)/(Lm*Fsw)</f>
        <v>11.033229491173417</v>
      </c>
      <c r="C92" t="s">
        <v>11</v>
      </c>
      <c r="E92" t="s">
        <v>116</v>
      </c>
    </row>
    <row r="93" spans="1:5" x14ac:dyDescent="0.25">
      <c r="A93" t="s">
        <v>113</v>
      </c>
      <c r="B93" s="16">
        <f>(IL_avg_VIN_min/EFF_est)+(ILrip_VINmin/2)</f>
        <v>37.94085716982913</v>
      </c>
      <c r="C93" t="s">
        <v>11</v>
      </c>
      <c r="E93" t="s">
        <v>114</v>
      </c>
    </row>
    <row r="95" spans="1:5" x14ac:dyDescent="0.25">
      <c r="A95" t="s">
        <v>117</v>
      </c>
      <c r="B95" s="16">
        <f>(VIN_nom*Dc_VIN_nom)/(Lm*Fsw)</f>
        <v>13.629283489096572</v>
      </c>
      <c r="C95" t="s">
        <v>11</v>
      </c>
      <c r="E95" t="s">
        <v>123</v>
      </c>
    </row>
    <row r="96" spans="1:5" x14ac:dyDescent="0.25">
      <c r="A96" t="s">
        <v>118</v>
      </c>
      <c r="B96" s="16">
        <f>(IL_avg_VIN_nom/EFF_est)+(ILrip_VINnom/2)</f>
        <v>30.592419522326061</v>
      </c>
      <c r="C96" t="s">
        <v>11</v>
      </c>
      <c r="E96" t="s">
        <v>124</v>
      </c>
    </row>
    <row r="98" spans="1:5" x14ac:dyDescent="0.25">
      <c r="A98" t="s">
        <v>119</v>
      </c>
      <c r="B98" s="16">
        <f>(VIN_max*Dc_VIN_max)/(Lm*Fsw)</f>
        <v>16.355140186915886</v>
      </c>
      <c r="C98" t="s">
        <v>11</v>
      </c>
      <c r="E98" t="s">
        <v>125</v>
      </c>
    </row>
    <row r="99" spans="1:5" x14ac:dyDescent="0.25">
      <c r="A99" t="s">
        <v>120</v>
      </c>
      <c r="B99" s="16">
        <f>(IL_avg_VIN_max/EFF_est)+(ILrip_VINmax/2)</f>
        <v>24.389691305579156</v>
      </c>
      <c r="C99" t="s">
        <v>11</v>
      </c>
      <c r="E99" t="s">
        <v>126</v>
      </c>
    </row>
    <row r="100" spans="1:5" x14ac:dyDescent="0.25">
      <c r="C100" s="2"/>
    </row>
    <row r="101" spans="1:5" x14ac:dyDescent="0.25">
      <c r="A101" s="22" t="s">
        <v>496</v>
      </c>
      <c r="C101" s="2"/>
    </row>
    <row r="102" spans="1:5" x14ac:dyDescent="0.25">
      <c r="A102" t="s">
        <v>115</v>
      </c>
      <c r="B102" s="16">
        <f>(VIN_min*Dc_VIN_min)/(Lm*Fsw)</f>
        <v>11.033229491173417</v>
      </c>
      <c r="C102" t="s">
        <v>11</v>
      </c>
      <c r="E102" t="s">
        <v>116</v>
      </c>
    </row>
    <row r="103" spans="1:5" x14ac:dyDescent="0.25">
      <c r="A103" t="s">
        <v>113</v>
      </c>
      <c r="B103" s="16">
        <f>B102</f>
        <v>11.033229491173417</v>
      </c>
      <c r="C103" t="s">
        <v>11</v>
      </c>
      <c r="E103" t="s">
        <v>114</v>
      </c>
    </row>
    <row r="105" spans="1:5" x14ac:dyDescent="0.25">
      <c r="A105" t="s">
        <v>117</v>
      </c>
      <c r="B105" s="16">
        <f>(VIN_nom*Dc_VIN_nom)/(Lm*Fsw)</f>
        <v>13.629283489096572</v>
      </c>
      <c r="C105" t="s">
        <v>11</v>
      </c>
      <c r="E105" t="s">
        <v>123</v>
      </c>
    </row>
    <row r="106" spans="1:5" x14ac:dyDescent="0.25">
      <c r="A106" t="s">
        <v>118</v>
      </c>
      <c r="B106" s="16">
        <f>B105</f>
        <v>13.629283489096572</v>
      </c>
      <c r="C106" t="s">
        <v>11</v>
      </c>
      <c r="E106" t="s">
        <v>124</v>
      </c>
    </row>
    <row r="108" spans="1:5" x14ac:dyDescent="0.25">
      <c r="A108" t="s">
        <v>119</v>
      </c>
      <c r="B108" s="16">
        <f>(VIN_max*Dc_VIN_max)/(Lm*Fsw)</f>
        <v>16.355140186915886</v>
      </c>
      <c r="C108" t="s">
        <v>11</v>
      </c>
      <c r="E108" t="s">
        <v>125</v>
      </c>
    </row>
    <row r="109" spans="1:5" x14ac:dyDescent="0.25">
      <c r="A109" t="s">
        <v>120</v>
      </c>
      <c r="B109" s="16">
        <f>B108</f>
        <v>16.355140186915886</v>
      </c>
      <c r="C109" t="s">
        <v>11</v>
      </c>
      <c r="E109" t="s">
        <v>126</v>
      </c>
    </row>
    <row r="110" spans="1:5" x14ac:dyDescent="0.25">
      <c r="C110" s="2"/>
    </row>
    <row r="111" spans="1:5" x14ac:dyDescent="0.25">
      <c r="A111" s="22" t="s">
        <v>324</v>
      </c>
      <c r="B111" t="s">
        <v>112</v>
      </c>
    </row>
    <row r="112" spans="1:5" x14ac:dyDescent="0.25">
      <c r="A112" t="s">
        <v>115</v>
      </c>
      <c r="B112" s="16">
        <f>IF(B$36="CCM",B92,B102)</f>
        <v>11.033229491173417</v>
      </c>
      <c r="C112" t="s">
        <v>11</v>
      </c>
      <c r="E112" t="s">
        <v>116</v>
      </c>
    </row>
    <row r="113" spans="1:13" x14ac:dyDescent="0.25">
      <c r="A113" t="s">
        <v>113</v>
      </c>
      <c r="B113" s="16">
        <f>IF(B$36="CCM",B93,B103)</f>
        <v>37.94085716982913</v>
      </c>
      <c r="C113" t="s">
        <v>11</v>
      </c>
      <c r="E113" t="s">
        <v>114</v>
      </c>
    </row>
    <row r="115" spans="1:13" x14ac:dyDescent="0.25">
      <c r="A115" t="s">
        <v>117</v>
      </c>
      <c r="B115" s="16">
        <f>IF(B$36="CCM",B95,B105)</f>
        <v>13.629283489096572</v>
      </c>
      <c r="C115" t="s">
        <v>11</v>
      </c>
      <c r="E115" t="s">
        <v>123</v>
      </c>
    </row>
    <row r="116" spans="1:13" x14ac:dyDescent="0.25">
      <c r="A116" t="s">
        <v>118</v>
      </c>
      <c r="B116" s="16">
        <f>IF(B$36="CCM",B96,B106)</f>
        <v>30.592419522326061</v>
      </c>
      <c r="C116" t="s">
        <v>11</v>
      </c>
      <c r="E116" t="s">
        <v>124</v>
      </c>
    </row>
    <row r="118" spans="1:13" x14ac:dyDescent="0.25">
      <c r="A118" t="s">
        <v>119</v>
      </c>
      <c r="B118" s="16">
        <f>IF(B$36="CCM",B98,B108)</f>
        <v>16.355140186915886</v>
      </c>
      <c r="C118" t="s">
        <v>11</v>
      </c>
      <c r="E118" t="s">
        <v>125</v>
      </c>
    </row>
    <row r="119" spans="1:13" x14ac:dyDescent="0.25">
      <c r="A119" t="s">
        <v>120</v>
      </c>
      <c r="B119" s="16">
        <f>IF(B$36="CCM",B99,B109)</f>
        <v>24.389691305579156</v>
      </c>
      <c r="C119" t="s">
        <v>11</v>
      </c>
      <c r="E119" t="s">
        <v>126</v>
      </c>
    </row>
    <row r="121" spans="1:13" x14ac:dyDescent="0.25">
      <c r="A121" s="19" t="s">
        <v>121</v>
      </c>
    </row>
    <row r="122" spans="1:13" x14ac:dyDescent="0.25">
      <c r="A122" t="s">
        <v>128</v>
      </c>
      <c r="B122" s="3">
        <f>'Design Converter'!H28/100</f>
        <v>0.4</v>
      </c>
      <c r="E122" t="s">
        <v>129</v>
      </c>
    </row>
    <row r="123" spans="1:13" x14ac:dyDescent="0.25">
      <c r="A123" t="s">
        <v>130</v>
      </c>
      <c r="B123" s="17">
        <f>(1+Ipk_margin)*ILp_VINmin</f>
        <v>53.117200037760782</v>
      </c>
      <c r="C123" t="s">
        <v>11</v>
      </c>
      <c r="E123" t="s">
        <v>131</v>
      </c>
    </row>
    <row r="124" spans="1:13" x14ac:dyDescent="0.25">
      <c r="B124" s="17"/>
    </row>
    <row r="125" spans="1:13" x14ac:dyDescent="0.25">
      <c r="A125" t="s">
        <v>142</v>
      </c>
      <c r="B125" s="12">
        <v>0.6</v>
      </c>
      <c r="E125" t="s">
        <v>143</v>
      </c>
      <c r="J125">
        <f>Fsw*Isl*Rsl_int*Lm</f>
        <v>3.1672079999999998E-2</v>
      </c>
    </row>
    <row r="126" spans="1:13" x14ac:dyDescent="0.25">
      <c r="J126">
        <f>Isl</f>
        <v>2.9999999999999997E-5</v>
      </c>
      <c r="K126">
        <f>Fsw</f>
        <v>2200000</v>
      </c>
      <c r="L126">
        <f>Lm</f>
        <v>3.5999999999999999E-7</v>
      </c>
      <c r="M126">
        <f>Rsl_int</f>
        <v>1333</v>
      </c>
    </row>
    <row r="127" spans="1:13" x14ac:dyDescent="0.25">
      <c r="A127" t="s">
        <v>140</v>
      </c>
      <c r="B127" s="25">
        <f>(1/B125)*((Fsw*Isl*Rsl_int*Lm)/(VOUT-VIN_min))</f>
        <v>1.2420423529411766E-3</v>
      </c>
      <c r="C127" s="2" t="s">
        <v>36</v>
      </c>
      <c r="E127" t="s">
        <v>141</v>
      </c>
    </row>
    <row r="128" spans="1:13" x14ac:dyDescent="0.25">
      <c r="A128" t="s">
        <v>148</v>
      </c>
      <c r="B128" s="25">
        <f>Vcl/Ipk_selected</f>
        <v>1.882629354124661E-3</v>
      </c>
      <c r="C128" s="2" t="s">
        <v>36</v>
      </c>
      <c r="E128" t="s">
        <v>149</v>
      </c>
    </row>
    <row r="130" spans="1:11" x14ac:dyDescent="0.25">
      <c r="A130" t="s">
        <v>155</v>
      </c>
      <c r="B130" s="12">
        <v>0.83299999999999996</v>
      </c>
      <c r="E130" t="s">
        <v>156</v>
      </c>
    </row>
    <row r="131" spans="1:11" x14ac:dyDescent="0.25">
      <c r="A131" t="s">
        <v>154</v>
      </c>
      <c r="B131" s="24">
        <f>(Lm*Fsw*(Vcl+(Dc_VIN_min*Isl*Rsl_int)))/((Dc_VIN_min*Kslope*VOUT)-(Dc_VIN_min*Kslope*VIN_min)+(Ipk_selected*Lm*Fsw))</f>
        <v>1.48677359188073E-3</v>
      </c>
      <c r="C131" s="2" t="s">
        <v>36</v>
      </c>
      <c r="E131" t="s">
        <v>165</v>
      </c>
    </row>
    <row r="132" spans="1:11" x14ac:dyDescent="0.25">
      <c r="A132" t="s">
        <v>157</v>
      </c>
      <c r="B132" s="16">
        <f>(Vcl-(Ipk_selected*Rcs_w_sl))/(Isl*Dc_VIN_min)</f>
        <v>882.29890936689981</v>
      </c>
      <c r="C132" s="2" t="s">
        <v>36</v>
      </c>
      <c r="E132" t="s">
        <v>164</v>
      </c>
    </row>
    <row r="134" spans="1:11" x14ac:dyDescent="0.25">
      <c r="A134" t="s">
        <v>152</v>
      </c>
      <c r="B134" s="1">
        <f>IF(AND(Rcs_wo_sl&gt;Rcs_max,OR(B36="CCM",B36="CCM/DCM")),1,0)</f>
        <v>1</v>
      </c>
      <c r="E134" t="s">
        <v>153</v>
      </c>
    </row>
    <row r="135" spans="1:11" x14ac:dyDescent="0.25">
      <c r="A135" t="s">
        <v>158</v>
      </c>
      <c r="B135" s="27">
        <f>IF(B134=0,Rcs_wo_sl,Rcs_w_sl)</f>
        <v>1.48677359188073E-3</v>
      </c>
      <c r="C135" s="2" t="s">
        <v>36</v>
      </c>
      <c r="E135" t="s">
        <v>162</v>
      </c>
    </row>
    <row r="136" spans="1:11" x14ac:dyDescent="0.25">
      <c r="A136" t="s">
        <v>159</v>
      </c>
      <c r="B136" s="1">
        <f>IF(K136&gt;Rsl_max,Rsl_max,K136)</f>
        <v>882.29890936689981</v>
      </c>
      <c r="C136" s="2" t="s">
        <v>36</v>
      </c>
      <c r="E136" t="s">
        <v>163</v>
      </c>
      <c r="K136">
        <f>IF(B134=0,0,B132)</f>
        <v>882.29890936689981</v>
      </c>
    </row>
    <row r="138" spans="1:11" x14ac:dyDescent="0.25">
      <c r="A138" t="s">
        <v>160</v>
      </c>
      <c r="B138" s="28">
        <f>'Design Converter'!H32/1000</f>
        <v>1.5E-3</v>
      </c>
      <c r="C138" s="2" t="s">
        <v>36</v>
      </c>
      <c r="E138" t="s">
        <v>167</v>
      </c>
    </row>
    <row r="139" spans="1:11" x14ac:dyDescent="0.25">
      <c r="A139" t="s">
        <v>161</v>
      </c>
      <c r="B139" s="3">
        <f>'Design Converter'!H33</f>
        <v>887</v>
      </c>
      <c r="C139" s="2" t="s">
        <v>36</v>
      </c>
      <c r="E139" t="s">
        <v>168</v>
      </c>
    </row>
    <row r="141" spans="1:11" x14ac:dyDescent="0.25">
      <c r="A141" t="s">
        <v>172</v>
      </c>
      <c r="B141" s="1">
        <f>(Isl*(Rsl_int+R_sl)*Fsw)/(((VOUT-VIN_min)/Lm)*R_cs)</f>
        <v>0.82740705882352916</v>
      </c>
      <c r="C141" t="s">
        <v>180</v>
      </c>
      <c r="E141" t="s">
        <v>170</v>
      </c>
      <c r="K141">
        <f>IF(B141&lt;0.5,1,0)</f>
        <v>0</v>
      </c>
    </row>
    <row r="142" spans="1:11" x14ac:dyDescent="0.25">
      <c r="A142" t="s">
        <v>174</v>
      </c>
      <c r="B142" s="17">
        <f>(Vcl-(Isl*R_sl*Dc_VIN_min))/R_cs</f>
        <v>52.574143302180687</v>
      </c>
      <c r="C142" t="s">
        <v>11</v>
      </c>
      <c r="E142" t="s">
        <v>176</v>
      </c>
      <c r="K142">
        <f>IF(IL_pk&lt;Ipk_selected,1,0)</f>
        <v>1</v>
      </c>
    </row>
    <row r="143" spans="1:11" x14ac:dyDescent="0.25">
      <c r="A143" t="s">
        <v>175</v>
      </c>
      <c r="B143" s="17">
        <f>(Vcl-(Isl*R_sl*Dc_VIN_max))/R_cs</f>
        <v>56.221619937694712</v>
      </c>
      <c r="C143" t="s">
        <v>11</v>
      </c>
      <c r="E143" t="s">
        <v>177</v>
      </c>
    </row>
    <row r="144" spans="1:11" x14ac:dyDescent="0.25">
      <c r="A144" t="s">
        <v>178</v>
      </c>
      <c r="B144" s="1">
        <f>0.15</f>
        <v>0.15</v>
      </c>
      <c r="E144" t="s">
        <v>179</v>
      </c>
    </row>
    <row r="145" spans="1:5" x14ac:dyDescent="0.25">
      <c r="A145" t="s">
        <v>181</v>
      </c>
      <c r="B145" s="16">
        <f>(1+B144)*B143</f>
        <v>64.654862928348919</v>
      </c>
      <c r="C145" t="s">
        <v>11</v>
      </c>
      <c r="E145" t="s">
        <v>182</v>
      </c>
    </row>
    <row r="147" spans="1:5" x14ac:dyDescent="0.25">
      <c r="A147" s="22" t="s">
        <v>183</v>
      </c>
    </row>
    <row r="148" spans="1:5" x14ac:dyDescent="0.25">
      <c r="A148" t="s">
        <v>184</v>
      </c>
    </row>
    <row r="150" spans="1:5" x14ac:dyDescent="0.25">
      <c r="A150" s="30" t="s">
        <v>185</v>
      </c>
    </row>
    <row r="152" spans="1:5" x14ac:dyDescent="0.25">
      <c r="A152" t="s">
        <v>190</v>
      </c>
      <c r="B152" s="31">
        <f>'Design Converter'!H38/1000</f>
        <v>0.02</v>
      </c>
      <c r="C152" t="s">
        <v>10</v>
      </c>
      <c r="E152" t="s">
        <v>189</v>
      </c>
    </row>
    <row r="153" spans="1:5" x14ac:dyDescent="0.25">
      <c r="A153" t="s">
        <v>192</v>
      </c>
      <c r="B153" s="1">
        <f>IOUT*Dc_VIN_min/(Fsw*Vout_rip_sel)</f>
        <v>1.0832625318606626E-4</v>
      </c>
      <c r="C153" t="s">
        <v>193</v>
      </c>
      <c r="E153" t="s">
        <v>194</v>
      </c>
    </row>
    <row r="154" spans="1:5" x14ac:dyDescent="0.25">
      <c r="A154" t="s">
        <v>196</v>
      </c>
      <c r="B154" s="16">
        <f>SQRT((1-Dc_VIN_min)*((IOUT^2)*(Dc_VIN_min/((1-Dc_VIN_min)^2))+((ILrip_VINmin^2)/3)))</f>
        <v>12.142237137055549</v>
      </c>
      <c r="C154" t="s">
        <v>11</v>
      </c>
      <c r="E154" t="s">
        <v>197</v>
      </c>
    </row>
    <row r="155" spans="1:5" x14ac:dyDescent="0.25">
      <c r="A155" t="s">
        <v>202</v>
      </c>
      <c r="B155" s="3">
        <f>'Design Converter'!H41*(10^-6)</f>
        <v>1.9999999999999998E-4</v>
      </c>
      <c r="C155" t="s">
        <v>193</v>
      </c>
      <c r="E155" t="s">
        <v>200</v>
      </c>
    </row>
    <row r="156" spans="1:5" x14ac:dyDescent="0.25">
      <c r="A156" t="s">
        <v>199</v>
      </c>
      <c r="B156" s="3">
        <f>'Design Converter'!H42/1000</f>
        <v>2.9999999999999997E-4</v>
      </c>
      <c r="C156" s="2" t="s">
        <v>36</v>
      </c>
      <c r="E156" t="s">
        <v>201</v>
      </c>
    </row>
    <row r="157" spans="1:5" x14ac:dyDescent="0.25">
      <c r="A157" t="s">
        <v>331</v>
      </c>
      <c r="B157">
        <f>SQRT((IOUT^2)+(IL_avg_VIN_min^2)-(2*IOUT*IL_avg_VIN_min)-(2*Dc_VIN_min*(IOUT^2))-(Dc_VIN_min*(IL_avg_VIN_min^2))+(2*Dc_VIN_min*IOUT*IL_avg_VIN_min))</f>
        <v>9.0495661447754525</v>
      </c>
      <c r="E157" s="38" t="s">
        <v>332</v>
      </c>
    </row>
    <row r="159" spans="1:5" x14ac:dyDescent="0.25">
      <c r="A159" s="30" t="s">
        <v>350</v>
      </c>
    </row>
    <row r="160" spans="1:5" x14ac:dyDescent="0.25">
      <c r="A160" t="s">
        <v>335</v>
      </c>
      <c r="B160" s="12">
        <f>Iss</f>
        <v>9.9999999999999991E-6</v>
      </c>
      <c r="C160" t="s">
        <v>11</v>
      </c>
      <c r="E160" t="s">
        <v>337</v>
      </c>
    </row>
    <row r="161" spans="1:5" x14ac:dyDescent="0.25">
      <c r="A161" t="s">
        <v>338</v>
      </c>
      <c r="B161" s="1">
        <f>Iss*VOUT*Cout/(Vref*IOUT)</f>
        <v>1.7833333333333331E-8</v>
      </c>
      <c r="C161" t="s">
        <v>193</v>
      </c>
      <c r="E161" t="s">
        <v>339</v>
      </c>
    </row>
    <row r="162" spans="1:5" x14ac:dyDescent="0.25">
      <c r="A162" t="s">
        <v>340</v>
      </c>
      <c r="B162" s="3">
        <f>'Design Converter'!H46*(10^-3)</f>
        <v>0.02</v>
      </c>
      <c r="C162" t="s">
        <v>54</v>
      </c>
      <c r="E162" t="s">
        <v>341</v>
      </c>
    </row>
    <row r="163" spans="1:5" x14ac:dyDescent="0.25">
      <c r="A163" t="s">
        <v>344</v>
      </c>
      <c r="B163" s="1">
        <f>(tss*Iss)/(Vref*(1-(VIN_min/VOUT)))</f>
        <v>2.5176470588235294E-7</v>
      </c>
      <c r="C163" t="s">
        <v>193</v>
      </c>
      <c r="E163" t="s">
        <v>345</v>
      </c>
    </row>
    <row r="165" spans="1:5" x14ac:dyDescent="0.25">
      <c r="A165" s="30" t="s">
        <v>349</v>
      </c>
    </row>
    <row r="166" spans="1:5" x14ac:dyDescent="0.25">
      <c r="A166" t="s">
        <v>351</v>
      </c>
      <c r="B166" s="3">
        <f>'Design Converter'!H50</f>
        <v>10</v>
      </c>
      <c r="C166" t="s">
        <v>10</v>
      </c>
      <c r="E166" t="s">
        <v>353</v>
      </c>
    </row>
    <row r="167" spans="1:5" x14ac:dyDescent="0.25">
      <c r="A167" t="s">
        <v>352</v>
      </c>
      <c r="B167" s="3">
        <f>'Design Converter'!H51</f>
        <v>9</v>
      </c>
      <c r="C167" t="s">
        <v>10</v>
      </c>
      <c r="E167" t="s">
        <v>354</v>
      </c>
    </row>
    <row r="168" spans="1:5" x14ac:dyDescent="0.25">
      <c r="A168" t="s">
        <v>356</v>
      </c>
      <c r="B168" s="12">
        <f>UV_rise</f>
        <v>1.5</v>
      </c>
      <c r="C168" t="s">
        <v>10</v>
      </c>
      <c r="E168" t="s">
        <v>361</v>
      </c>
    </row>
    <row r="169" spans="1:5" x14ac:dyDescent="0.25">
      <c r="A169" t="s">
        <v>357</v>
      </c>
      <c r="B169" s="12">
        <f>UV_fall</f>
        <v>1.45</v>
      </c>
      <c r="C169" t="s">
        <v>10</v>
      </c>
      <c r="E169" t="s">
        <v>360</v>
      </c>
    </row>
    <row r="170" spans="1:5" x14ac:dyDescent="0.25">
      <c r="A170" t="s">
        <v>362</v>
      </c>
      <c r="B170" s="12">
        <f>UV_I_hyst</f>
        <v>4.9999999999999996E-6</v>
      </c>
      <c r="C170" t="s">
        <v>11</v>
      </c>
      <c r="E170" t="s">
        <v>364</v>
      </c>
    </row>
    <row r="171" spans="1:5" x14ac:dyDescent="0.25">
      <c r="A171" t="s">
        <v>365</v>
      </c>
      <c r="B171" s="18">
        <f>((Vuvlo_on*0.967)-Vuvlo_off)/(UV_I_hyst)</f>
        <v>134000</v>
      </c>
      <c r="C171" s="2" t="s">
        <v>36</v>
      </c>
      <c r="E171" t="s">
        <v>466</v>
      </c>
    </row>
    <row r="172" spans="1:5" x14ac:dyDescent="0.25">
      <c r="A172" t="s">
        <v>365</v>
      </c>
      <c r="B172" s="3">
        <f>'Design Converter'!H53*1000</f>
        <v>150000</v>
      </c>
      <c r="C172" s="2" t="s">
        <v>36</v>
      </c>
      <c r="E172" t="s">
        <v>467</v>
      </c>
    </row>
    <row r="173" spans="1:5" x14ac:dyDescent="0.25">
      <c r="A173" t="s">
        <v>366</v>
      </c>
      <c r="B173" s="18">
        <f>UV_rise*Ruvlo_top/(Vuvlo_on-UV_rise)</f>
        <v>26470.588235294119</v>
      </c>
      <c r="C173" s="2" t="s">
        <v>36</v>
      </c>
      <c r="E173" t="s">
        <v>468</v>
      </c>
    </row>
    <row r="174" spans="1:5" x14ac:dyDescent="0.25">
      <c r="A174" t="s">
        <v>367</v>
      </c>
      <c r="B174" s="17">
        <f>UV_rise*(Ruvlo_top+Ruvlo_bottom_calc)/Ruvlo_bottom_calc</f>
        <v>10</v>
      </c>
      <c r="E174" t="s">
        <v>369</v>
      </c>
    </row>
    <row r="175" spans="1:5" x14ac:dyDescent="0.25">
      <c r="A175" t="s">
        <v>368</v>
      </c>
      <c r="B175" s="17">
        <f>Ruvlo_top*((UV_fall/Ruvlo_top)-(UV_I_hyst)+(UV_fall/Ruvlo_bottom_calc))</f>
        <v>8.9166666666666661</v>
      </c>
      <c r="E175" t="s">
        <v>370</v>
      </c>
    </row>
    <row r="178" spans="1:5" x14ac:dyDescent="0.25">
      <c r="A178" s="30" t="s">
        <v>204</v>
      </c>
    </row>
    <row r="179" spans="1:5" x14ac:dyDescent="0.25">
      <c r="A179" s="34" t="s">
        <v>232</v>
      </c>
      <c r="B179" s="3" t="str">
        <f>'Design Converter'!H57</f>
        <v>15V</v>
      </c>
      <c r="C179" t="s">
        <v>10</v>
      </c>
      <c r="E179" t="s">
        <v>276</v>
      </c>
    </row>
    <row r="180" spans="1:5" x14ac:dyDescent="0.25">
      <c r="A180" s="34"/>
    </row>
    <row r="181" spans="1:5" x14ac:dyDescent="0.25">
      <c r="A181" s="33" t="s">
        <v>291</v>
      </c>
    </row>
    <row r="182" spans="1:5" x14ac:dyDescent="0.25">
      <c r="A182" t="s">
        <v>224</v>
      </c>
      <c r="B182" s="3">
        <f>'Design Converter'!H60*(10^3)</f>
        <v>130000</v>
      </c>
      <c r="C182" s="2" t="s">
        <v>36</v>
      </c>
      <c r="E182" t="s">
        <v>277</v>
      </c>
    </row>
    <row r="183" spans="1:5" x14ac:dyDescent="0.25">
      <c r="A183" t="s">
        <v>281</v>
      </c>
      <c r="B183" s="18">
        <f>(RFBT*Vref)/(VOUT-Vref)</f>
        <v>2476.1904761904761</v>
      </c>
      <c r="C183" s="2" t="s">
        <v>36</v>
      </c>
      <c r="E183" t="s">
        <v>284</v>
      </c>
    </row>
    <row r="184" spans="1:5" x14ac:dyDescent="0.25">
      <c r="A184" t="s">
        <v>225</v>
      </c>
      <c r="B184" s="3">
        <f>'Design Converter'!H62*(10^3)</f>
        <v>2490</v>
      </c>
      <c r="C184" s="2" t="s">
        <v>36</v>
      </c>
      <c r="E184" t="s">
        <v>285</v>
      </c>
    </row>
    <row r="185" spans="1:5" x14ac:dyDescent="0.25">
      <c r="A185" t="s">
        <v>286</v>
      </c>
      <c r="B185" s="1">
        <f>VOUT/(RFBB+RFBT)</f>
        <v>4.0380406068382522E-4</v>
      </c>
      <c r="C185" s="2" t="s">
        <v>11</v>
      </c>
      <c r="E185" t="s">
        <v>287</v>
      </c>
    </row>
    <row r="186" spans="1:5" x14ac:dyDescent="0.25">
      <c r="C186" s="2"/>
    </row>
    <row r="187" spans="1:5" x14ac:dyDescent="0.25">
      <c r="A187" s="33" t="s">
        <v>292</v>
      </c>
      <c r="E187" t="s">
        <v>457</v>
      </c>
    </row>
    <row r="189" spans="1:5" x14ac:dyDescent="0.25">
      <c r="A189" t="s">
        <v>470</v>
      </c>
      <c r="B189">
        <f>(Gcomp*(VIN_min/VOUT)*(VOUT/IOUT))/(2*R_cs*Acs)</f>
        <v>88.6111111111111</v>
      </c>
    </row>
    <row r="191" spans="1:5" x14ac:dyDescent="0.25">
      <c r="A191" t="s">
        <v>471</v>
      </c>
      <c r="B191" s="12">
        <f>2/(Cout*(VOUT/IOUT))</f>
        <v>1121.4953271028039</v>
      </c>
      <c r="C191" t="s">
        <v>454</v>
      </c>
      <c r="E191" t="s">
        <v>453</v>
      </c>
    </row>
    <row r="192" spans="1:5" x14ac:dyDescent="0.25">
      <c r="A192" t="s">
        <v>472</v>
      </c>
      <c r="B192" s="1">
        <f>B191/(2*PI())</f>
        <v>178.49152496287331</v>
      </c>
      <c r="C192" t="s">
        <v>69</v>
      </c>
      <c r="E192" t="s">
        <v>288</v>
      </c>
    </row>
    <row r="194" spans="1:5" x14ac:dyDescent="0.25">
      <c r="A194" t="s">
        <v>473</v>
      </c>
      <c r="B194" s="12">
        <f>1/(Cout*Resr)</f>
        <v>16666666.666666668</v>
      </c>
      <c r="C194" t="s">
        <v>455</v>
      </c>
      <c r="E194" t="s">
        <v>456</v>
      </c>
    </row>
    <row r="195" spans="1:5" x14ac:dyDescent="0.25">
      <c r="A195" t="s">
        <v>474</v>
      </c>
      <c r="B195" s="1">
        <f>B194/(2*PI())</f>
        <v>2652582.3848649226</v>
      </c>
      <c r="C195" t="s">
        <v>69</v>
      </c>
      <c r="E195" t="s">
        <v>290</v>
      </c>
    </row>
    <row r="197" spans="1:5" x14ac:dyDescent="0.25">
      <c r="A197" t="s">
        <v>475</v>
      </c>
      <c r="B197" s="12">
        <f>((VOUT/IOUT)*((VIN_min/VOUT)^2))/(Lm)</f>
        <v>1047075.1124956732</v>
      </c>
      <c r="E197" t="s">
        <v>452</v>
      </c>
    </row>
    <row r="198" spans="1:5" x14ac:dyDescent="0.25">
      <c r="A198" t="s">
        <v>476</v>
      </c>
      <c r="B198" s="18">
        <f>B197/(2*PI())</f>
        <v>166647.17994218878</v>
      </c>
      <c r="C198" t="s">
        <v>69</v>
      </c>
      <c r="E198" t="s">
        <v>289</v>
      </c>
    </row>
    <row r="199" spans="1:5" x14ac:dyDescent="0.25">
      <c r="B199">
        <f>Fsw/10</f>
        <v>220000</v>
      </c>
      <c r="C199" t="s">
        <v>69</v>
      </c>
      <c r="E199" t="s">
        <v>297</v>
      </c>
    </row>
    <row r="200" spans="1:5" x14ac:dyDescent="0.25">
      <c r="B200">
        <f>IF((B198/5)&lt;(B199),0,1)</f>
        <v>0</v>
      </c>
      <c r="E200" t="s">
        <v>299</v>
      </c>
    </row>
    <row r="202" spans="1:5" x14ac:dyDescent="0.25">
      <c r="A202" t="s">
        <v>477</v>
      </c>
      <c r="B202" s="1">
        <f>(Isl*(Rsl_int+R_sl)*Fsw)</f>
        <v>146519.99999999997</v>
      </c>
      <c r="C202" t="s">
        <v>180</v>
      </c>
      <c r="E202" t="s">
        <v>248</v>
      </c>
    </row>
    <row r="203" spans="1:5" x14ac:dyDescent="0.25">
      <c r="A203" t="s">
        <v>478</v>
      </c>
      <c r="B203" s="1">
        <f>(R_cs*VIN_min*Acs)/Lm</f>
        <v>45833.333333333336</v>
      </c>
      <c r="C203" t="s">
        <v>180</v>
      </c>
      <c r="E203" t="s">
        <v>249</v>
      </c>
    </row>
    <row r="204" spans="1:5" x14ac:dyDescent="0.25">
      <c r="B204" s="1"/>
    </row>
    <row r="205" spans="1:5" x14ac:dyDescent="0.25">
      <c r="A205" t="s">
        <v>479</v>
      </c>
      <c r="B205" s="1">
        <f>2*PI()*Fsw</f>
        <v>13823007.675795089</v>
      </c>
      <c r="C205" t="s">
        <v>251</v>
      </c>
    </row>
    <row r="206" spans="1:5" x14ac:dyDescent="0.25">
      <c r="A206" t="s">
        <v>480</v>
      </c>
      <c r="B206" s="1">
        <f>1/(PI()*(((VIN_min/VOUT)*(1+(B202/B203)))-0.5))</f>
        <v>0.87714418437649666</v>
      </c>
    </row>
    <row r="212" spans="1:5" x14ac:dyDescent="0.25">
      <c r="A212" t="s">
        <v>293</v>
      </c>
      <c r="B212" s="17">
        <f>IF(B200=0,fz_rhp/5,Fsw/10)</f>
        <v>33329.435988437755</v>
      </c>
      <c r="C212" t="s">
        <v>69</v>
      </c>
      <c r="E212" t="s">
        <v>298</v>
      </c>
    </row>
    <row r="213" spans="1:5" x14ac:dyDescent="0.25">
      <c r="A213" t="s">
        <v>295</v>
      </c>
      <c r="B213" s="3">
        <f>'Design Converter'!H66*1000</f>
        <v>33000</v>
      </c>
      <c r="C213" t="s">
        <v>69</v>
      </c>
      <c r="E213" t="s">
        <v>296</v>
      </c>
    </row>
    <row r="215" spans="1:5" x14ac:dyDescent="0.25">
      <c r="A215" t="s">
        <v>304</v>
      </c>
      <c r="B215" s="20">
        <f>Gplant_fc_dB</f>
        <v>-6.2201471171218961</v>
      </c>
      <c r="C215" t="s">
        <v>275</v>
      </c>
      <c r="E215" t="s">
        <v>305</v>
      </c>
    </row>
    <row r="216" spans="1:5" x14ac:dyDescent="0.25">
      <c r="A216" t="s">
        <v>300</v>
      </c>
      <c r="B216" s="20">
        <f>10^(B215/20)</f>
        <v>0.48864408287111882</v>
      </c>
      <c r="C216" t="s">
        <v>180</v>
      </c>
      <c r="E216" t="s">
        <v>301</v>
      </c>
    </row>
    <row r="217" spans="1:5" x14ac:dyDescent="0.25">
      <c r="A217" t="s">
        <v>306</v>
      </c>
      <c r="B217" s="20">
        <f>1/B216</f>
        <v>2.0464792986427152</v>
      </c>
      <c r="C217" t="s">
        <v>180</v>
      </c>
      <c r="E217" t="s">
        <v>307</v>
      </c>
    </row>
    <row r="219" spans="1:5" x14ac:dyDescent="0.25">
      <c r="A219" t="s">
        <v>313</v>
      </c>
      <c r="B219">
        <f>fcross/10</f>
        <v>3300</v>
      </c>
      <c r="C219" t="s">
        <v>69</v>
      </c>
      <c r="E219" t="s">
        <v>311</v>
      </c>
    </row>
    <row r="220" spans="1:5" x14ac:dyDescent="0.25">
      <c r="A220" t="s">
        <v>314</v>
      </c>
      <c r="B220" s="35">
        <f>SQRT(B192*fcross)</f>
        <v>2426.9776108927786</v>
      </c>
      <c r="C220" t="s">
        <v>69</v>
      </c>
      <c r="E220" t="s">
        <v>312</v>
      </c>
    </row>
    <row r="221" spans="1:5" x14ac:dyDescent="0.25">
      <c r="A221" t="s">
        <v>310</v>
      </c>
      <c r="B221" s="35">
        <f>B220</f>
        <v>2426.9776108927786</v>
      </c>
      <c r="C221" t="s">
        <v>69</v>
      </c>
    </row>
    <row r="223" spans="1:5" x14ac:dyDescent="0.25">
      <c r="A223" t="s">
        <v>317</v>
      </c>
      <c r="B223" s="32">
        <f>fz_rhp</f>
        <v>166647.17994218878</v>
      </c>
      <c r="C223" t="s">
        <v>69</v>
      </c>
      <c r="E223" t="s">
        <v>490</v>
      </c>
    </row>
    <row r="224" spans="1:5" x14ac:dyDescent="0.25">
      <c r="E224" t="s">
        <v>491</v>
      </c>
    </row>
    <row r="227" spans="1:5" x14ac:dyDescent="0.25">
      <c r="A227" t="s">
        <v>308</v>
      </c>
      <c r="B227" s="23">
        <f>(Gea_mid_calc*(RFBT+RFBB)/(RFBB*gm_ea))</f>
        <v>54445.390015496647</v>
      </c>
      <c r="C227" s="2" t="s">
        <v>36</v>
      </c>
      <c r="E227" t="s">
        <v>309</v>
      </c>
    </row>
    <row r="228" spans="1:5" x14ac:dyDescent="0.25">
      <c r="A228" t="s">
        <v>214</v>
      </c>
      <c r="B228" s="3">
        <f>'Design Converter'!H69*1000</f>
        <v>72000</v>
      </c>
      <c r="C228" s="2" t="s">
        <v>36</v>
      </c>
      <c r="E228" t="s">
        <v>221</v>
      </c>
    </row>
    <row r="229" spans="1:5" x14ac:dyDescent="0.25">
      <c r="A229" t="s">
        <v>315</v>
      </c>
      <c r="B229" s="36">
        <f>1/(2*PI()*fz_ea_est*Rcomp_calc)</f>
        <v>1.2044624040008711E-9</v>
      </c>
      <c r="C229" s="2" t="s">
        <v>193</v>
      </c>
    </row>
    <row r="230" spans="1:5" x14ac:dyDescent="0.25">
      <c r="A230" t="s">
        <v>219</v>
      </c>
      <c r="B230" s="3">
        <f>'Design Converter'!H70*(10^-9)</f>
        <v>1.0000000000000001E-9</v>
      </c>
      <c r="C230" t="s">
        <v>193</v>
      </c>
      <c r="E230" t="s">
        <v>222</v>
      </c>
    </row>
    <row r="231" spans="1:5" x14ac:dyDescent="0.25">
      <c r="A231" t="s">
        <v>316</v>
      </c>
      <c r="B231" s="36">
        <f>(CComp_calc)/((CComp_calc*Rcomp_calc*2*PI()*fp_ea_est)-1)</f>
        <v>1.7800509597320852E-11</v>
      </c>
      <c r="C231" t="s">
        <v>193</v>
      </c>
    </row>
    <row r="232" spans="1:5" x14ac:dyDescent="0.25">
      <c r="A232" t="s">
        <v>220</v>
      </c>
      <c r="B232" s="3">
        <f>'Design Converter'!H71*(10^-12)</f>
        <v>1.3E-11</v>
      </c>
      <c r="C232" t="s">
        <v>193</v>
      </c>
      <c r="E232" t="s">
        <v>223</v>
      </c>
    </row>
    <row r="235" spans="1:5" x14ac:dyDescent="0.25">
      <c r="A235" s="30" t="s">
        <v>379</v>
      </c>
    </row>
    <row r="236" spans="1:5" x14ac:dyDescent="0.25">
      <c r="A236" s="30" t="s">
        <v>398</v>
      </c>
    </row>
    <row r="237" spans="1:5" x14ac:dyDescent="0.25">
      <c r="A237" s="52" t="s">
        <v>461</v>
      </c>
      <c r="E237" t="s">
        <v>462</v>
      </c>
    </row>
    <row r="238" spans="1:5" x14ac:dyDescent="0.25">
      <c r="A238" t="s">
        <v>380</v>
      </c>
      <c r="B238">
        <f>'Design Converter'!H86/1000</f>
        <v>0.57999999999999996</v>
      </c>
      <c r="C238" t="s">
        <v>10</v>
      </c>
      <c r="E238" t="s">
        <v>381</v>
      </c>
    </row>
    <row r="239" spans="1:5" x14ac:dyDescent="0.25">
      <c r="A239" t="s">
        <v>411</v>
      </c>
      <c r="B239">
        <f>'Design Converter'!H87*(10^-9)</f>
        <v>1E-8</v>
      </c>
      <c r="C239" t="s">
        <v>409</v>
      </c>
      <c r="E239" t="s">
        <v>410</v>
      </c>
    </row>
    <row r="242" spans="1:8" x14ac:dyDescent="0.25">
      <c r="A242" s="30" t="s">
        <v>401</v>
      </c>
    </row>
    <row r="243" spans="1:8" ht="15.75" x14ac:dyDescent="0.3">
      <c r="A243" t="s">
        <v>412</v>
      </c>
      <c r="B243" s="3">
        <f>'Design Converter'!H76*(10^-3)</f>
        <v>0</v>
      </c>
      <c r="C243" s="2" t="s">
        <v>36</v>
      </c>
      <c r="E243" s="44" t="s">
        <v>387</v>
      </c>
    </row>
    <row r="244" spans="1:8" ht="15.75" x14ac:dyDescent="0.3">
      <c r="A244" t="s">
        <v>402</v>
      </c>
      <c r="B244" s="3">
        <f>'Design Converter'!H77*(10^-9)</f>
        <v>3.9400000000000002E-8</v>
      </c>
      <c r="C244" t="s">
        <v>193</v>
      </c>
      <c r="E244" s="44" t="s">
        <v>388</v>
      </c>
    </row>
    <row r="245" spans="1:8" ht="15.75" x14ac:dyDescent="0.3">
      <c r="A245" t="s">
        <v>404</v>
      </c>
      <c r="B245" s="3">
        <f>'Design Converter'!H78*(10^-9)</f>
        <v>1.11E-8</v>
      </c>
      <c r="C245" t="s">
        <v>193</v>
      </c>
      <c r="E245" s="44" t="s">
        <v>389</v>
      </c>
    </row>
    <row r="246" spans="1:8" ht="15.75" x14ac:dyDescent="0.3">
      <c r="A246" t="s">
        <v>403</v>
      </c>
      <c r="B246" s="3">
        <f>'Design Converter'!H79*(10^-9)</f>
        <v>1.2300000000000001E-8</v>
      </c>
      <c r="C246" t="s">
        <v>193</v>
      </c>
      <c r="E246" s="44" t="s">
        <v>390</v>
      </c>
    </row>
    <row r="247" spans="1:8" ht="15.75" x14ac:dyDescent="0.3">
      <c r="A247" t="s">
        <v>405</v>
      </c>
      <c r="B247" s="3">
        <f>'Design Converter'!H80</f>
        <v>1.5</v>
      </c>
      <c r="C247" s="2" t="s">
        <v>36</v>
      </c>
      <c r="E247" s="44" t="s">
        <v>391</v>
      </c>
    </row>
    <row r="248" spans="1:8" x14ac:dyDescent="0.25">
      <c r="A248" t="s">
        <v>413</v>
      </c>
      <c r="B248" s="12">
        <v>1.5</v>
      </c>
      <c r="C248" s="2"/>
      <c r="E248" s="44" t="s">
        <v>414</v>
      </c>
      <c r="H248" t="s">
        <v>423</v>
      </c>
    </row>
    <row r="249" spans="1:8" ht="15.75" x14ac:dyDescent="0.3">
      <c r="A249" t="s">
        <v>406</v>
      </c>
      <c r="B249" s="3">
        <f>'Design Converter'!H81</f>
        <v>60</v>
      </c>
      <c r="C249" s="2" t="s">
        <v>397</v>
      </c>
      <c r="E249" s="44" t="s">
        <v>392</v>
      </c>
    </row>
    <row r="250" spans="1:8" ht="15.75" x14ac:dyDescent="0.3">
      <c r="A250" t="s">
        <v>407</v>
      </c>
      <c r="B250" s="3">
        <f>'Design Converter'!H82</f>
        <v>1.7</v>
      </c>
      <c r="C250" s="2" t="s">
        <v>10</v>
      </c>
      <c r="E250" s="44" t="s">
        <v>393</v>
      </c>
    </row>
    <row r="251" spans="1:8" x14ac:dyDescent="0.25">
      <c r="A251" t="s">
        <v>419</v>
      </c>
      <c r="B251" s="12">
        <f>Vcc</f>
        <v>6.75</v>
      </c>
      <c r="C251" s="2" t="s">
        <v>10</v>
      </c>
      <c r="E251" s="44" t="s">
        <v>424</v>
      </c>
    </row>
    <row r="252" spans="1:8" x14ac:dyDescent="0.25">
      <c r="C252" s="2"/>
      <c r="E252" s="44"/>
    </row>
    <row r="253" spans="1:8" x14ac:dyDescent="0.25">
      <c r="C253" s="2"/>
      <c r="E253" s="44"/>
    </row>
    <row r="254" spans="1:8" x14ac:dyDescent="0.25">
      <c r="A254" t="s">
        <v>415</v>
      </c>
      <c r="B254" s="27">
        <f>Vth+(((VOUT*IOUT)/VIN_min)/gfs)</f>
        <v>2.1863636363636365</v>
      </c>
      <c r="C254" s="2" t="s">
        <v>10</v>
      </c>
      <c r="E254" s="44" t="s">
        <v>416</v>
      </c>
    </row>
    <row r="255" spans="1:8" x14ac:dyDescent="0.25">
      <c r="A255" t="s">
        <v>425</v>
      </c>
      <c r="B255" s="1">
        <f>(Qgd+(Qgs/2))*((Rgate+B248)/(Vcc-B254))</f>
        <v>1.1339641434262947E-8</v>
      </c>
      <c r="C255" s="2" t="s">
        <v>54</v>
      </c>
      <c r="E255" s="44" t="s">
        <v>417</v>
      </c>
    </row>
    <row r="256" spans="1:8" ht="15.75" thickBot="1" x14ac:dyDescent="0.3">
      <c r="A256" t="s">
        <v>426</v>
      </c>
      <c r="B256" s="1">
        <f>(Qgd+(Qgs/2))*((B248+Rgate)/B254)</f>
        <v>2.3669438669438665E-8</v>
      </c>
      <c r="C256" t="s">
        <v>54</v>
      </c>
      <c r="E256" s="45" t="s">
        <v>418</v>
      </c>
    </row>
  </sheetData>
  <mergeCells count="2">
    <mergeCell ref="A1:J1"/>
    <mergeCell ref="E5:H5"/>
  </mergeCells>
  <pageMargins left="0.7" right="0.7" top="0.75" bottom="0.75" header="0.3" footer="0.3"/>
  <pageSetup orientation="portrait" r:id="rId1"/>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154</xdr:row>
                <xdr:rowOff>133350</xdr:rowOff>
              </from>
              <to>
                <xdr:col>12</xdr:col>
                <xdr:colOff>390525</xdr:colOff>
                <xdr:row>157</xdr:row>
                <xdr:rowOff>19050</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157"/>
  <sheetViews>
    <sheetView topLeftCell="R1" zoomScale="85" zoomScaleNormal="85" workbookViewId="0">
      <pane ySplit="6" topLeftCell="A135" activePane="bottomLeft" state="frozen"/>
      <selection activeCell="N8" sqref="N8"/>
      <selection pane="bottomLeft" activeCell="N8" sqref="N8"/>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2" max="43" width="8.85546875"/>
  </cols>
  <sheetData>
    <row r="1" spans="1:46" ht="27.75" x14ac:dyDescent="0.4">
      <c r="A1" s="229" t="s">
        <v>15</v>
      </c>
      <c r="B1" s="229"/>
      <c r="C1" s="229"/>
      <c r="D1" s="229"/>
      <c r="E1" s="229"/>
      <c r="F1" s="229"/>
      <c r="G1" s="229"/>
      <c r="H1" s="229"/>
      <c r="I1" s="229"/>
      <c r="J1" s="229"/>
      <c r="K1" s="229"/>
      <c r="L1" s="229"/>
      <c r="M1" s="229"/>
    </row>
    <row r="4" spans="1:46" ht="15.75" thickBot="1" x14ac:dyDescent="0.3">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row>
    <row r="5" spans="1:46" ht="30" x14ac:dyDescent="0.25">
      <c r="R5" s="234" t="s">
        <v>372</v>
      </c>
      <c r="S5" s="235"/>
      <c r="T5" s="235"/>
      <c r="U5" s="236"/>
      <c r="V5" s="234" t="s">
        <v>373</v>
      </c>
      <c r="W5" s="235"/>
      <c r="X5" s="236"/>
      <c r="Y5" s="234" t="s">
        <v>446</v>
      </c>
      <c r="Z5" s="235"/>
      <c r="AA5" s="235"/>
      <c r="AB5" s="235"/>
      <c r="AC5" s="235"/>
      <c r="AD5" s="236"/>
      <c r="AE5" s="234" t="s">
        <v>445</v>
      </c>
      <c r="AF5" s="235"/>
      <c r="AG5" s="235"/>
      <c r="AH5" s="235"/>
      <c r="AI5" s="236"/>
      <c r="AJ5" s="234" t="s">
        <v>447</v>
      </c>
      <c r="AK5" s="235"/>
      <c r="AL5" s="235"/>
      <c r="AM5" s="235"/>
      <c r="AN5" s="236"/>
      <c r="AO5" s="231" t="s">
        <v>442</v>
      </c>
      <c r="AP5" s="232"/>
      <c r="AQ5" s="233"/>
      <c r="AR5" s="49" t="s">
        <v>435</v>
      </c>
      <c r="AS5" s="50"/>
      <c r="AT5" s="51"/>
    </row>
    <row r="6" spans="1:46" ht="18" x14ac:dyDescent="0.35">
      <c r="R6" s="39" t="s">
        <v>31</v>
      </c>
      <c r="S6" s="37" t="s">
        <v>33</v>
      </c>
      <c r="T6" s="37" t="s">
        <v>327</v>
      </c>
      <c r="U6" s="40" t="s">
        <v>330</v>
      </c>
      <c r="V6" s="39" t="s">
        <v>328</v>
      </c>
      <c r="W6" s="37" t="s">
        <v>329</v>
      </c>
      <c r="X6" s="40" t="s">
        <v>377</v>
      </c>
      <c r="Y6" s="39" t="s">
        <v>374</v>
      </c>
      <c r="Z6" s="37" t="s">
        <v>376</v>
      </c>
      <c r="AA6" s="37" t="s">
        <v>375</v>
      </c>
      <c r="AB6" s="46" t="s">
        <v>383</v>
      </c>
      <c r="AC6" s="46" t="s">
        <v>384</v>
      </c>
      <c r="AD6" s="48" t="s">
        <v>433</v>
      </c>
      <c r="AE6" s="39" t="s">
        <v>427</v>
      </c>
      <c r="AF6" s="37" t="s">
        <v>428</v>
      </c>
      <c r="AG6" s="46" t="s">
        <v>430</v>
      </c>
      <c r="AH6" s="46" t="s">
        <v>429</v>
      </c>
      <c r="AI6" s="48" t="s">
        <v>431</v>
      </c>
      <c r="AJ6" s="39" t="s">
        <v>382</v>
      </c>
      <c r="AK6" s="37" t="s">
        <v>378</v>
      </c>
      <c r="AL6" s="37" t="s">
        <v>385</v>
      </c>
      <c r="AM6" s="37" t="s">
        <v>386</v>
      </c>
      <c r="AN6" s="40" t="s">
        <v>432</v>
      </c>
      <c r="AO6" s="39" t="s">
        <v>434</v>
      </c>
      <c r="AP6" s="37" t="s">
        <v>437</v>
      </c>
      <c r="AQ6" s="40" t="s">
        <v>438</v>
      </c>
      <c r="AR6" s="39" t="s">
        <v>436</v>
      </c>
      <c r="AS6" s="37" t="s">
        <v>444</v>
      </c>
      <c r="AT6" s="40" t="s">
        <v>443</v>
      </c>
    </row>
    <row r="7" spans="1:46" x14ac:dyDescent="0.25">
      <c r="Q7">
        <v>0</v>
      </c>
      <c r="R7" s="39">
        <f t="shared" ref="R7:R70" si="0">VOUT</f>
        <v>53.5</v>
      </c>
      <c r="S7" s="37">
        <f t="shared" ref="S7:S38" si="1">Q7*$O$12</f>
        <v>0</v>
      </c>
      <c r="T7" s="37">
        <f t="shared" ref="T7:T70" si="2">VIN_var</f>
        <v>15</v>
      </c>
      <c r="U7" s="40">
        <f t="shared" ref="U7:U38" si="3">(R7*S7)/(T7*EFF_est)</f>
        <v>0</v>
      </c>
      <c r="V7" s="39">
        <f t="shared" ref="V7:V38" si="4">IF((S7*R7/T7)&lt;((T7*(1-(T7/R7)))/(2*Lm*Fsw)),1,2)</f>
        <v>1</v>
      </c>
      <c r="W7" s="37">
        <f t="shared" ref="W7:W38" si="5">CHOOSE(V7,SQRT((2*S7*Lm*Fsw*(R7-T7))/((T7)^2)),1-(T7/R7))</f>
        <v>0</v>
      </c>
      <c r="X7" s="40">
        <f t="shared" ref="X7:X38" si="6">CHOOSE(V7,(Lm*W7*Fsw)/(R7-T7),1-W7)</f>
        <v>0</v>
      </c>
      <c r="Y7" s="39">
        <f t="shared" ref="Y7:Y38" si="7">(T7*W7)/(Lm*Fsw)</f>
        <v>0</v>
      </c>
      <c r="Z7" s="37">
        <f>CHOOSE(V7,Y7,U7+(0.5*Y7))</f>
        <v>0</v>
      </c>
      <c r="AA7" s="37">
        <f>CHOOSE(V7,Z7*SQRT((W7+X7)/3),SQRT((U7^2)+((Y7^2)/12)))</f>
        <v>0</v>
      </c>
      <c r="AB7" s="37">
        <v>0</v>
      </c>
      <c r="AC7" s="37">
        <f t="shared" ref="AC7:AC38" si="8">(AA7^2)*Rdcr</f>
        <v>0</v>
      </c>
      <c r="AD7" s="40">
        <f>AB7+AC7</f>
        <v>0</v>
      </c>
      <c r="AE7" s="39">
        <f>U7*W7</f>
        <v>0</v>
      </c>
      <c r="AF7" s="37">
        <f>CHOOSE(V7,Z7*SQRT(W7/3),SQRT(W7*((Z7^2)+((Y7^2)/3)-(Z7*Y7))))</f>
        <v>0</v>
      </c>
      <c r="AG7" s="37">
        <f t="shared" ref="AG7:AG38" si="9">(AF7^2)*RDS_on</f>
        <v>0</v>
      </c>
      <c r="AH7" s="37">
        <f t="shared" ref="AH7:AH38" si="10">((R7*U7)/2)*Fsw*(tr_sw+tf_sw)</f>
        <v>0</v>
      </c>
      <c r="AI7" s="40">
        <f>AG7+AH7</f>
        <v>0</v>
      </c>
      <c r="AJ7" s="39">
        <f>X7*U7</f>
        <v>0</v>
      </c>
      <c r="AK7" s="37">
        <f t="shared" ref="AK7:AK38" si="11">CHOOSE(V7,Z7*SQRT(X7/3),SQRT(X7*((Z7^2)+((Y7^2)/3)-(Y7*Z7))))</f>
        <v>0</v>
      </c>
      <c r="AL7" s="37">
        <f t="shared" ref="AL7:AL38" si="12">S7*Vd_rect</f>
        <v>0</v>
      </c>
      <c r="AM7" s="37">
        <f t="shared" ref="AM7:AM38" si="13">CHOOSE(V7,(R7+Vd_rect)*Qrr*Fsw,(R7+Vd_rect)*Qrr*Fsw)</f>
        <v>1.1897599999999999</v>
      </c>
      <c r="AN7" s="40">
        <f>AL7+AM7</f>
        <v>1.1897599999999999</v>
      </c>
      <c r="AO7" s="39">
        <f t="shared" ref="AO7:AO38" si="14">(AF7^2)*R_cs</f>
        <v>0</v>
      </c>
      <c r="AP7" s="37">
        <f t="shared" ref="AP7:AP38" si="15">Qg_tot*Vcc*Fsw</f>
        <v>0.58509</v>
      </c>
      <c r="AQ7" s="40">
        <f t="shared" ref="AQ7:AQ38" si="16">IQ*T7</f>
        <v>6.7499999999999999E-3</v>
      </c>
      <c r="AR7" s="39">
        <f>AO7+AN7+AI7+AD7+AP7+AQ7</f>
        <v>1.7815999999999999</v>
      </c>
      <c r="AS7" s="37">
        <f>R7*S7</f>
        <v>0</v>
      </c>
      <c r="AT7" s="40">
        <f>(AS7/(AS7+AR7))*100</f>
        <v>0</v>
      </c>
    </row>
    <row r="8" spans="1:46" x14ac:dyDescent="0.25">
      <c r="M8">
        <f>Fsw</f>
        <v>2200000</v>
      </c>
      <c r="Q8">
        <v>1</v>
      </c>
      <c r="R8" s="39">
        <f t="shared" si="0"/>
        <v>53.5</v>
      </c>
      <c r="S8" s="37">
        <f t="shared" si="1"/>
        <v>0.04</v>
      </c>
      <c r="T8" s="37">
        <f t="shared" si="2"/>
        <v>15</v>
      </c>
      <c r="U8" s="40">
        <f t="shared" si="3"/>
        <v>0.15851851851851853</v>
      </c>
      <c r="V8" s="39">
        <f t="shared" si="4"/>
        <v>1</v>
      </c>
      <c r="W8" s="37">
        <f t="shared" si="5"/>
        <v>0.10412300418255326</v>
      </c>
      <c r="X8" s="40">
        <f t="shared" si="6"/>
        <v>2.1419589431839522E-3</v>
      </c>
      <c r="Y8" s="39">
        <f t="shared" si="7"/>
        <v>1.9720265943665389</v>
      </c>
      <c r="Z8" s="37">
        <f t="shared" ref="Z8:Z15" si="17">CHOOSE(V8,Y8,U8+(0.5*Y8))</f>
        <v>1.9720265943665389</v>
      </c>
      <c r="AA8" s="37">
        <f t="shared" ref="AA8:AA15" si="18">CHOOSE(V8,Z8*SQRT((W8+X8)/3),SQRT((U8^2)+((Y8^2)/12)))</f>
        <v>0.37114805418586755</v>
      </c>
      <c r="AB8" s="37">
        <v>0</v>
      </c>
      <c r="AC8" s="37">
        <f t="shared" si="8"/>
        <v>2.755017562519114E-4</v>
      </c>
      <c r="AD8" s="40">
        <f t="shared" ref="AD8:AD71" si="19">AB8+AC8</f>
        <v>2.755017562519114E-4</v>
      </c>
      <c r="AE8" s="39">
        <f>U8*W8</f>
        <v>1.650542436671585E-2</v>
      </c>
      <c r="AF8" s="37">
        <f t="shared" ref="AF8:AF71" si="20">CHOOSE(V8,Z8*SQRT(W8/3),SQRT(W8*((Z8^2)+((Y8^2)/3)-(Z8*Y8))))</f>
        <v>0.36738843841510255</v>
      </c>
      <c r="AG8" s="37">
        <f t="shared" si="9"/>
        <v>0</v>
      </c>
      <c r="AH8" s="37">
        <f t="shared" si="10"/>
        <v>0.32659322512445021</v>
      </c>
      <c r="AI8" s="40">
        <f t="shared" ref="AI8:AI71" si="21">AG8+AH8</f>
        <v>0.32659322512445021</v>
      </c>
      <c r="AJ8" s="39">
        <f t="shared" ref="AJ8:AJ71" si="22">X8*U8</f>
        <v>3.395401584010117E-4</v>
      </c>
      <c r="AK8" s="37">
        <f t="shared" si="11"/>
        <v>5.2693580679890099E-2</v>
      </c>
      <c r="AL8" s="37">
        <f t="shared" si="12"/>
        <v>2.3199999999999998E-2</v>
      </c>
      <c r="AM8" s="37">
        <f t="shared" si="13"/>
        <v>1.1897599999999999</v>
      </c>
      <c r="AN8" s="40">
        <f t="shared" ref="AN8:AN71" si="23">AL8+AM8</f>
        <v>1.2129599999999998</v>
      </c>
      <c r="AO8" s="39">
        <f t="shared" si="14"/>
        <v>2.0246139702163139E-4</v>
      </c>
      <c r="AP8" s="37">
        <f t="shared" si="15"/>
        <v>0.58509</v>
      </c>
      <c r="AQ8" s="40">
        <f t="shared" si="16"/>
        <v>6.7499999999999999E-3</v>
      </c>
      <c r="AR8" s="39">
        <f t="shared" ref="AR8:AR71" si="24">AO8+AN8+AI8+AD8+AP8+AQ8</f>
        <v>2.1318711882777235</v>
      </c>
      <c r="AS8" s="37">
        <f t="shared" ref="AS8:AS71" si="25">R8*S8</f>
        <v>2.14</v>
      </c>
      <c r="AT8" s="40">
        <f t="shared" ref="AT8:AT71" si="26">(AS8/(AS8+AR8))*100</f>
        <v>50.09514345545557</v>
      </c>
    </row>
    <row r="9" spans="1:46" x14ac:dyDescent="0.25">
      <c r="N9" s="37" t="s">
        <v>233</v>
      </c>
      <c r="O9" s="37">
        <f>VIN_var</f>
        <v>15</v>
      </c>
      <c r="P9" t="s">
        <v>10</v>
      </c>
      <c r="Q9">
        <v>2</v>
      </c>
      <c r="R9" s="39">
        <f t="shared" si="0"/>
        <v>53.5</v>
      </c>
      <c r="S9" s="37">
        <f t="shared" si="1"/>
        <v>0.08</v>
      </c>
      <c r="T9" s="37">
        <f t="shared" si="2"/>
        <v>15</v>
      </c>
      <c r="U9" s="40">
        <f t="shared" si="3"/>
        <v>0.31703703703703706</v>
      </c>
      <c r="V9" s="39">
        <f t="shared" si="4"/>
        <v>1</v>
      </c>
      <c r="W9" s="37">
        <f t="shared" si="5"/>
        <v>0.1472521646699973</v>
      </c>
      <c r="X9" s="40">
        <f t="shared" si="6"/>
        <v>3.0291873874970874E-3</v>
      </c>
      <c r="Y9" s="39">
        <f t="shared" si="7"/>
        <v>2.7888667551135851</v>
      </c>
      <c r="Z9" s="37">
        <f t="shared" si="17"/>
        <v>2.7888667551135851</v>
      </c>
      <c r="AA9" s="37">
        <f t="shared" si="18"/>
        <v>0.62419413658657474</v>
      </c>
      <c r="AB9" s="37">
        <v>0</v>
      </c>
      <c r="AC9" s="37">
        <f t="shared" si="8"/>
        <v>7.7923664029811899E-4</v>
      </c>
      <c r="AD9" s="40">
        <f t="shared" si="19"/>
        <v>7.7923664029811899E-4</v>
      </c>
      <c r="AE9" s="39">
        <f t="shared" ref="AE9:AE72" si="27">U9*W9</f>
        <v>4.6684389984265814E-2</v>
      </c>
      <c r="AF9" s="37">
        <f t="shared" si="20"/>
        <v>0.61787124173783947</v>
      </c>
      <c r="AG9" s="37">
        <f t="shared" si="9"/>
        <v>0</v>
      </c>
      <c r="AH9" s="37">
        <f t="shared" si="10"/>
        <v>0.65318645024890043</v>
      </c>
      <c r="AI9" s="40">
        <f t="shared" si="21"/>
        <v>0.65318645024890043</v>
      </c>
      <c r="AJ9" s="39">
        <f t="shared" si="22"/>
        <v>9.6036459396203961E-4</v>
      </c>
      <c r="AK9" s="37">
        <f t="shared" si="11"/>
        <v>8.8619686201203932E-2</v>
      </c>
      <c r="AL9" s="37">
        <f t="shared" si="12"/>
        <v>4.6399999999999997E-2</v>
      </c>
      <c r="AM9" s="37">
        <f t="shared" si="13"/>
        <v>1.1897599999999999</v>
      </c>
      <c r="AN9" s="40">
        <f t="shared" si="23"/>
        <v>1.2361599999999999</v>
      </c>
      <c r="AO9" s="39">
        <f t="shared" si="14"/>
        <v>5.7264730704998951E-4</v>
      </c>
      <c r="AP9" s="37">
        <f t="shared" si="15"/>
        <v>0.58509</v>
      </c>
      <c r="AQ9" s="40">
        <f t="shared" si="16"/>
        <v>6.7499999999999999E-3</v>
      </c>
      <c r="AR9" s="39">
        <f t="shared" si="24"/>
        <v>2.4825383341962484</v>
      </c>
      <c r="AS9" s="37">
        <f t="shared" si="25"/>
        <v>4.28</v>
      </c>
      <c r="AT9" s="40">
        <f t="shared" si="26"/>
        <v>63.289844559656657</v>
      </c>
    </row>
    <row r="10" spans="1:46" x14ac:dyDescent="0.25">
      <c r="N10" s="37"/>
      <c r="O10" s="37"/>
      <c r="Q10">
        <v>3</v>
      </c>
      <c r="R10" s="39">
        <f t="shared" si="0"/>
        <v>53.5</v>
      </c>
      <c r="S10" s="37">
        <f t="shared" si="1"/>
        <v>0.12</v>
      </c>
      <c r="T10" s="37">
        <f t="shared" si="2"/>
        <v>15</v>
      </c>
      <c r="U10" s="40">
        <f t="shared" si="3"/>
        <v>0.47555555555555556</v>
      </c>
      <c r="V10" s="39">
        <f t="shared" si="4"/>
        <v>1</v>
      </c>
      <c r="W10" s="37">
        <f t="shared" si="5"/>
        <v>0.18034633348088894</v>
      </c>
      <c r="X10" s="40">
        <f t="shared" si="6"/>
        <v>3.7099817173211441E-3</v>
      </c>
      <c r="Y10" s="39">
        <f t="shared" si="7"/>
        <v>3.4156502553198664</v>
      </c>
      <c r="Z10" s="37">
        <f t="shared" si="17"/>
        <v>3.4156502553198664</v>
      </c>
      <c r="AA10" s="37">
        <f t="shared" si="18"/>
        <v>0.84603460869171931</v>
      </c>
      <c r="AB10" s="37">
        <v>0</v>
      </c>
      <c r="AC10" s="37">
        <f t="shared" si="8"/>
        <v>1.4315491182083013E-3</v>
      </c>
      <c r="AD10" s="40">
        <f t="shared" si="19"/>
        <v>1.4315491182083013E-3</v>
      </c>
      <c r="AE10" s="39">
        <f t="shared" si="27"/>
        <v>8.5764700810911629E-2</v>
      </c>
      <c r="AF10" s="37">
        <f t="shared" si="20"/>
        <v>0.83746453801082188</v>
      </c>
      <c r="AG10" s="37">
        <f t="shared" si="9"/>
        <v>0</v>
      </c>
      <c r="AH10" s="37">
        <f t="shared" si="10"/>
        <v>0.97977967537335064</v>
      </c>
      <c r="AI10" s="40">
        <f t="shared" si="21"/>
        <v>0.97977967537335064</v>
      </c>
      <c r="AJ10" s="39">
        <f t="shared" si="22"/>
        <v>1.7643024166816108E-3</v>
      </c>
      <c r="AK10" s="37">
        <f t="shared" si="11"/>
        <v>0.12011538901602541</v>
      </c>
      <c r="AL10" s="37">
        <f t="shared" si="12"/>
        <v>6.9599999999999995E-2</v>
      </c>
      <c r="AM10" s="37">
        <f t="shared" si="13"/>
        <v>1.1897599999999999</v>
      </c>
      <c r="AN10" s="40">
        <f t="shared" si="23"/>
        <v>1.25936</v>
      </c>
      <c r="AO10" s="39">
        <f t="shared" si="14"/>
        <v>1.052020278638519E-3</v>
      </c>
      <c r="AP10" s="37">
        <f t="shared" si="15"/>
        <v>0.58509</v>
      </c>
      <c r="AQ10" s="40">
        <f t="shared" si="16"/>
        <v>6.7499999999999999E-3</v>
      </c>
      <c r="AR10" s="39">
        <f t="shared" si="24"/>
        <v>2.8334632447701975</v>
      </c>
      <c r="AS10" s="37">
        <f t="shared" si="25"/>
        <v>6.42</v>
      </c>
      <c r="AT10" s="40">
        <f t="shared" si="26"/>
        <v>69.379429411235932</v>
      </c>
    </row>
    <row r="11" spans="1:46" x14ac:dyDescent="0.25">
      <c r="N11" s="37" t="s">
        <v>325</v>
      </c>
      <c r="O11" s="37">
        <v>150</v>
      </c>
      <c r="Q11">
        <v>4</v>
      </c>
      <c r="R11" s="39">
        <f t="shared" si="0"/>
        <v>53.5</v>
      </c>
      <c r="S11" s="37">
        <f t="shared" si="1"/>
        <v>0.16</v>
      </c>
      <c r="T11" s="37">
        <f t="shared" si="2"/>
        <v>15</v>
      </c>
      <c r="U11" s="40">
        <f t="shared" si="3"/>
        <v>0.63407407407407412</v>
      </c>
      <c r="V11" s="39">
        <f t="shared" si="4"/>
        <v>1</v>
      </c>
      <c r="W11" s="37">
        <f t="shared" si="5"/>
        <v>0.20824600836510651</v>
      </c>
      <c r="X11" s="40">
        <f t="shared" si="6"/>
        <v>4.2839178863679044E-3</v>
      </c>
      <c r="Y11" s="39">
        <f t="shared" si="7"/>
        <v>3.9440531887330779</v>
      </c>
      <c r="Z11" s="37">
        <f t="shared" si="17"/>
        <v>3.9440531887330779</v>
      </c>
      <c r="AA11" s="37">
        <f t="shared" si="18"/>
        <v>1.0497652237560766</v>
      </c>
      <c r="AB11" s="37">
        <v>0</v>
      </c>
      <c r="AC11" s="37">
        <f t="shared" si="8"/>
        <v>2.2040140500152916E-3</v>
      </c>
      <c r="AD11" s="40">
        <f t="shared" si="19"/>
        <v>2.2040140500152916E-3</v>
      </c>
      <c r="AE11" s="39">
        <f t="shared" si="27"/>
        <v>0.1320433949337268</v>
      </c>
      <c r="AF11" s="37">
        <f t="shared" si="20"/>
        <v>1.0391314245314212</v>
      </c>
      <c r="AG11" s="37">
        <f t="shared" si="9"/>
        <v>0</v>
      </c>
      <c r="AH11" s="37">
        <f t="shared" si="10"/>
        <v>1.3063729004978009</v>
      </c>
      <c r="AI11" s="40">
        <f t="shared" si="21"/>
        <v>1.3063729004978009</v>
      </c>
      <c r="AJ11" s="39">
        <f t="shared" si="22"/>
        <v>2.7163212672080936E-3</v>
      </c>
      <c r="AK11" s="37">
        <f t="shared" si="11"/>
        <v>0.14903995289500294</v>
      </c>
      <c r="AL11" s="37">
        <f t="shared" si="12"/>
        <v>9.2799999999999994E-2</v>
      </c>
      <c r="AM11" s="37">
        <f t="shared" si="13"/>
        <v>1.1897599999999999</v>
      </c>
      <c r="AN11" s="40">
        <f t="shared" si="23"/>
        <v>1.2825599999999999</v>
      </c>
      <c r="AO11" s="39">
        <f t="shared" si="14"/>
        <v>1.6196911761730511E-3</v>
      </c>
      <c r="AP11" s="37">
        <f t="shared" si="15"/>
        <v>0.58509</v>
      </c>
      <c r="AQ11" s="40">
        <f t="shared" si="16"/>
        <v>6.7499999999999999E-3</v>
      </c>
      <c r="AR11" s="39">
        <f t="shared" si="24"/>
        <v>3.1845966057239887</v>
      </c>
      <c r="AS11" s="37">
        <f t="shared" si="25"/>
        <v>8.56</v>
      </c>
      <c r="AT11" s="40">
        <f t="shared" si="26"/>
        <v>72.884580776730076</v>
      </c>
    </row>
    <row r="12" spans="1:46" x14ac:dyDescent="0.25">
      <c r="N12" s="37" t="s">
        <v>326</v>
      </c>
      <c r="O12" s="37">
        <f>IOUT/(O11)</f>
        <v>0.04</v>
      </c>
      <c r="Q12">
        <v>5</v>
      </c>
      <c r="R12" s="39">
        <f t="shared" si="0"/>
        <v>53.5</v>
      </c>
      <c r="S12" s="37">
        <f t="shared" si="1"/>
        <v>0.2</v>
      </c>
      <c r="T12" s="37">
        <f t="shared" si="2"/>
        <v>15</v>
      </c>
      <c r="U12" s="40">
        <f t="shared" si="3"/>
        <v>0.79259259259259263</v>
      </c>
      <c r="V12" s="39">
        <f t="shared" si="4"/>
        <v>1</v>
      </c>
      <c r="W12" s="37">
        <f t="shared" si="5"/>
        <v>0.23282611537368397</v>
      </c>
      <c r="X12" s="40">
        <f t="shared" si="6"/>
        <v>4.7895658019729273E-3</v>
      </c>
      <c r="Y12" s="39">
        <f t="shared" si="7"/>
        <v>4.4095855184409842</v>
      </c>
      <c r="Z12" s="37">
        <f t="shared" si="17"/>
        <v>4.4095855184409842</v>
      </c>
      <c r="AA12" s="37">
        <f t="shared" si="18"/>
        <v>1.2410083147383131</v>
      </c>
      <c r="AB12" s="37">
        <v>0</v>
      </c>
      <c r="AC12" s="37">
        <f t="shared" si="8"/>
        <v>3.0802032744992559E-3</v>
      </c>
      <c r="AD12" s="40">
        <f t="shared" si="19"/>
        <v>3.0802032744992559E-3</v>
      </c>
      <c r="AE12" s="39">
        <f t="shared" si="27"/>
        <v>0.18453625440729027</v>
      </c>
      <c r="AF12" s="37">
        <f t="shared" si="20"/>
        <v>1.2284372817526352</v>
      </c>
      <c r="AG12" s="37">
        <f t="shared" si="9"/>
        <v>0</v>
      </c>
      <c r="AH12" s="37">
        <f t="shared" si="10"/>
        <v>1.632966125622251</v>
      </c>
      <c r="AI12" s="40">
        <f t="shared" si="21"/>
        <v>1.632966125622251</v>
      </c>
      <c r="AJ12" s="39">
        <f t="shared" si="22"/>
        <v>3.7961743763785427E-3</v>
      </c>
      <c r="AK12" s="37">
        <f t="shared" si="11"/>
        <v>0.176191606070847</v>
      </c>
      <c r="AL12" s="37">
        <f t="shared" si="12"/>
        <v>0.11599999999999999</v>
      </c>
      <c r="AM12" s="37">
        <f t="shared" si="13"/>
        <v>1.1897599999999999</v>
      </c>
      <c r="AN12" s="40">
        <f t="shared" si="23"/>
        <v>1.3057599999999998</v>
      </c>
      <c r="AO12" s="39">
        <f t="shared" si="14"/>
        <v>2.2635872327997049E-3</v>
      </c>
      <c r="AP12" s="37">
        <f t="shared" si="15"/>
        <v>0.58509</v>
      </c>
      <c r="AQ12" s="40">
        <f t="shared" si="16"/>
        <v>6.7499999999999999E-3</v>
      </c>
      <c r="AR12" s="39">
        <f t="shared" si="24"/>
        <v>3.5359099161295497</v>
      </c>
      <c r="AS12" s="37">
        <f t="shared" si="25"/>
        <v>10.700000000000001</v>
      </c>
      <c r="AT12" s="40">
        <f t="shared" si="26"/>
        <v>75.162037853841028</v>
      </c>
    </row>
    <row r="13" spans="1:46" x14ac:dyDescent="0.25">
      <c r="Q13">
        <v>6</v>
      </c>
      <c r="R13" s="39">
        <f t="shared" si="0"/>
        <v>53.5</v>
      </c>
      <c r="S13" s="37">
        <f t="shared" si="1"/>
        <v>0.24</v>
      </c>
      <c r="T13" s="37">
        <f t="shared" si="2"/>
        <v>15</v>
      </c>
      <c r="U13" s="40">
        <f t="shared" si="3"/>
        <v>0.95111111111111113</v>
      </c>
      <c r="V13" s="39">
        <f t="shared" si="4"/>
        <v>1</v>
      </c>
      <c r="W13" s="37">
        <f t="shared" si="5"/>
        <v>0.25504823073293414</v>
      </c>
      <c r="X13" s="40">
        <f t="shared" si="6"/>
        <v>5.2467064607917878E-3</v>
      </c>
      <c r="Y13" s="39">
        <f t="shared" si="7"/>
        <v>4.8304589153964796</v>
      </c>
      <c r="Z13" s="37">
        <f t="shared" si="17"/>
        <v>4.8304589153964796</v>
      </c>
      <c r="AA13" s="37">
        <f t="shared" si="18"/>
        <v>1.4228549392588916</v>
      </c>
      <c r="AB13" s="37">
        <v>0</v>
      </c>
      <c r="AC13" s="37">
        <f t="shared" si="8"/>
        <v>4.0490323563468489E-3</v>
      </c>
      <c r="AD13" s="40">
        <f t="shared" si="19"/>
        <v>4.0490323563468489E-3</v>
      </c>
      <c r="AE13" s="39">
        <f t="shared" si="27"/>
        <v>0.24257920611932404</v>
      </c>
      <c r="AF13" s="37">
        <f t="shared" si="20"/>
        <v>1.4084418558308167</v>
      </c>
      <c r="AG13" s="37">
        <f t="shared" si="9"/>
        <v>0</v>
      </c>
      <c r="AH13" s="37">
        <f t="shared" si="10"/>
        <v>1.9595593507467013</v>
      </c>
      <c r="AI13" s="40">
        <f t="shared" si="21"/>
        <v>1.9595593507467013</v>
      </c>
      <c r="AJ13" s="39">
        <f t="shared" si="22"/>
        <v>4.9902008115975229E-3</v>
      </c>
      <c r="AK13" s="37">
        <f t="shared" si="11"/>
        <v>0.20200920008076231</v>
      </c>
      <c r="AL13" s="37">
        <f t="shared" si="12"/>
        <v>0.13919999999999999</v>
      </c>
      <c r="AM13" s="37">
        <f t="shared" si="13"/>
        <v>1.1897599999999999</v>
      </c>
      <c r="AN13" s="40">
        <f t="shared" si="23"/>
        <v>1.3289599999999999</v>
      </c>
      <c r="AO13" s="39">
        <f t="shared" si="14"/>
        <v>2.9755626918842328E-3</v>
      </c>
      <c r="AP13" s="37">
        <f t="shared" si="15"/>
        <v>0.58509</v>
      </c>
      <c r="AQ13" s="40">
        <f t="shared" si="16"/>
        <v>6.7499999999999999E-3</v>
      </c>
      <c r="AR13" s="39">
        <f t="shared" si="24"/>
        <v>3.887383945794932</v>
      </c>
      <c r="AS13" s="37">
        <f t="shared" si="25"/>
        <v>12.84</v>
      </c>
      <c r="AT13" s="40">
        <f t="shared" si="26"/>
        <v>76.760359190701919</v>
      </c>
    </row>
    <row r="14" spans="1:46" x14ac:dyDescent="0.25">
      <c r="Q14">
        <v>7</v>
      </c>
      <c r="R14" s="39">
        <f t="shared" si="0"/>
        <v>53.5</v>
      </c>
      <c r="S14" s="37">
        <f t="shared" si="1"/>
        <v>0.28000000000000003</v>
      </c>
      <c r="T14" s="37">
        <f t="shared" si="2"/>
        <v>15</v>
      </c>
      <c r="U14" s="40">
        <f t="shared" si="3"/>
        <v>1.1096296296296297</v>
      </c>
      <c r="V14" s="39">
        <f t="shared" si="4"/>
        <v>1</v>
      </c>
      <c r="W14" s="37">
        <f t="shared" si="5"/>
        <v>0.27548357482797409</v>
      </c>
      <c r="X14" s="40">
        <f t="shared" si="6"/>
        <v>5.6670906821754668E-3</v>
      </c>
      <c r="Y14" s="39">
        <f t="shared" si="7"/>
        <v>5.217491947499509</v>
      </c>
      <c r="Z14" s="37">
        <f t="shared" si="17"/>
        <v>5.217491947499509</v>
      </c>
      <c r="AA14" s="37">
        <f t="shared" si="18"/>
        <v>1.5972419869306966</v>
      </c>
      <c r="AB14" s="37">
        <v>0</v>
      </c>
      <c r="AC14" s="37">
        <f t="shared" si="8"/>
        <v>5.1023639296286392E-3</v>
      </c>
      <c r="AD14" s="40">
        <f t="shared" si="19"/>
        <v>5.1023639296286392E-3</v>
      </c>
      <c r="AE14" s="39">
        <f t="shared" si="27"/>
        <v>0.30568473710541127</v>
      </c>
      <c r="AF14" s="37">
        <f t="shared" si="20"/>
        <v>1.5810624162820914</v>
      </c>
      <c r="AG14" s="37">
        <f t="shared" si="9"/>
        <v>0</v>
      </c>
      <c r="AH14" s="37">
        <f t="shared" si="10"/>
        <v>2.2861525758711516</v>
      </c>
      <c r="AI14" s="40">
        <f t="shared" si="21"/>
        <v>2.2861525758711516</v>
      </c>
      <c r="AJ14" s="39">
        <f t="shared" si="22"/>
        <v>6.2883717347398888E-3</v>
      </c>
      <c r="AK14" s="37">
        <f t="shared" si="11"/>
        <v>0.22676772397004638</v>
      </c>
      <c r="AL14" s="37">
        <f t="shared" si="12"/>
        <v>0.16240000000000002</v>
      </c>
      <c r="AM14" s="37">
        <f t="shared" si="13"/>
        <v>1.1897599999999999</v>
      </c>
      <c r="AN14" s="40">
        <f t="shared" si="23"/>
        <v>1.35216</v>
      </c>
      <c r="AO14" s="39">
        <f t="shared" si="14"/>
        <v>3.7496375462696481E-3</v>
      </c>
      <c r="AP14" s="37">
        <f t="shared" si="15"/>
        <v>0.58509</v>
      </c>
      <c r="AQ14" s="40">
        <f t="shared" si="16"/>
        <v>6.7499999999999999E-3</v>
      </c>
      <c r="AR14" s="39">
        <f t="shared" si="24"/>
        <v>4.2390045773470497</v>
      </c>
      <c r="AS14" s="37">
        <f t="shared" si="25"/>
        <v>14.980000000000002</v>
      </c>
      <c r="AT14" s="40">
        <f t="shared" si="26"/>
        <v>77.943682981669852</v>
      </c>
    </row>
    <row r="15" spans="1:46" x14ac:dyDescent="0.25">
      <c r="O15">
        <f>0.205*2.5/(Lm*Fsw)</f>
        <v>0.64709595959595956</v>
      </c>
      <c r="Q15">
        <v>8</v>
      </c>
      <c r="R15" s="39">
        <f t="shared" si="0"/>
        <v>53.5</v>
      </c>
      <c r="S15" s="37">
        <f t="shared" si="1"/>
        <v>0.32</v>
      </c>
      <c r="T15" s="37">
        <f t="shared" si="2"/>
        <v>15</v>
      </c>
      <c r="U15" s="40">
        <f t="shared" si="3"/>
        <v>1.2681481481481482</v>
      </c>
      <c r="V15" s="39">
        <f t="shared" si="4"/>
        <v>1</v>
      </c>
      <c r="W15" s="37">
        <f t="shared" si="5"/>
        <v>0.2945043293399946</v>
      </c>
      <c r="X15" s="40">
        <f t="shared" si="6"/>
        <v>6.0583747749941748E-3</v>
      </c>
      <c r="Y15" s="39">
        <f t="shared" si="7"/>
        <v>5.5777335102271701</v>
      </c>
      <c r="Z15" s="37">
        <f t="shared" si="17"/>
        <v>5.5777335102271701</v>
      </c>
      <c r="AA15" s="37">
        <f t="shared" si="18"/>
        <v>1.7654876270289963</v>
      </c>
      <c r="AB15" s="37">
        <v>0</v>
      </c>
      <c r="AC15" s="37">
        <f t="shared" si="8"/>
        <v>6.2338931223849528E-3</v>
      </c>
      <c r="AD15" s="40">
        <f t="shared" si="19"/>
        <v>6.2338931223849528E-3</v>
      </c>
      <c r="AE15" s="39">
        <f t="shared" si="27"/>
        <v>0.37347511987412652</v>
      </c>
      <c r="AF15" s="37">
        <f t="shared" si="20"/>
        <v>1.7476037797319155</v>
      </c>
      <c r="AG15" s="37">
        <f t="shared" si="9"/>
        <v>0</v>
      </c>
      <c r="AH15" s="37">
        <f t="shared" si="10"/>
        <v>2.6127458009956017</v>
      </c>
      <c r="AI15" s="40">
        <f t="shared" si="21"/>
        <v>2.6127458009956017</v>
      </c>
      <c r="AJ15" s="39">
        <f t="shared" si="22"/>
        <v>7.6829167516963169E-3</v>
      </c>
      <c r="AK15" s="37">
        <f t="shared" si="11"/>
        <v>0.25065432423798084</v>
      </c>
      <c r="AL15" s="37">
        <f t="shared" si="12"/>
        <v>0.18559999999999999</v>
      </c>
      <c r="AM15" s="37">
        <f t="shared" si="13"/>
        <v>1.1897599999999999</v>
      </c>
      <c r="AN15" s="40">
        <f t="shared" si="23"/>
        <v>1.3753599999999999</v>
      </c>
      <c r="AO15" s="39">
        <f t="shared" si="14"/>
        <v>4.5811784563999161E-3</v>
      </c>
      <c r="AP15" s="37">
        <f t="shared" si="15"/>
        <v>0.58509</v>
      </c>
      <c r="AQ15" s="40">
        <f t="shared" si="16"/>
        <v>6.7499999999999999E-3</v>
      </c>
      <c r="AR15" s="39">
        <f t="shared" si="24"/>
        <v>4.5907608725743865</v>
      </c>
      <c r="AS15" s="37">
        <f t="shared" si="25"/>
        <v>17.12</v>
      </c>
      <c r="AT15" s="40">
        <f t="shared" si="26"/>
        <v>78.8549056409462</v>
      </c>
    </row>
    <row r="16" spans="1:46" x14ac:dyDescent="0.25">
      <c r="Q16">
        <v>9</v>
      </c>
      <c r="R16" s="39">
        <f t="shared" si="0"/>
        <v>53.5</v>
      </c>
      <c r="S16" s="37">
        <f t="shared" si="1"/>
        <v>0.36</v>
      </c>
      <c r="T16" s="37">
        <f t="shared" si="2"/>
        <v>15</v>
      </c>
      <c r="U16" s="40">
        <f t="shared" si="3"/>
        <v>1.4266666666666665</v>
      </c>
      <c r="V16" s="39">
        <f t="shared" si="4"/>
        <v>1</v>
      </c>
      <c r="W16" s="37">
        <f t="shared" si="5"/>
        <v>0.3123690125476597</v>
      </c>
      <c r="X16" s="40">
        <f t="shared" si="6"/>
        <v>6.4258768295518565E-3</v>
      </c>
      <c r="Y16" s="39">
        <f t="shared" si="7"/>
        <v>5.9160797830996161</v>
      </c>
      <c r="Z16" s="37">
        <f t="shared" ref="Z16:Z79" si="28">CHOOSE(V16,Y16,U16+(0.5*Y16))</f>
        <v>5.9160797830996161</v>
      </c>
      <c r="AA16" s="37">
        <f t="shared" ref="AA16:AA79" si="29">CHOOSE(V16,Z16*SQRT((W16+X16)/3),SQRT((U16^2)+((Y16^2)/12)))</f>
        <v>1.9285418609407476</v>
      </c>
      <c r="AB16" s="37">
        <v>0</v>
      </c>
      <c r="AC16" s="37">
        <f t="shared" si="8"/>
        <v>7.4385474188016039E-3</v>
      </c>
      <c r="AD16" s="40">
        <f t="shared" si="19"/>
        <v>7.4385474188016039E-3</v>
      </c>
      <c r="AE16" s="39">
        <f t="shared" si="27"/>
        <v>0.44564645790132779</v>
      </c>
      <c r="AF16" s="37">
        <f t="shared" si="20"/>
        <v>1.9090063243450408</v>
      </c>
      <c r="AG16" s="37">
        <f t="shared" si="9"/>
        <v>0</v>
      </c>
      <c r="AH16" s="37">
        <f t="shared" si="10"/>
        <v>2.9393390261200509</v>
      </c>
      <c r="AI16" s="40">
        <f t="shared" si="21"/>
        <v>2.9393390261200509</v>
      </c>
      <c r="AJ16" s="39">
        <f t="shared" si="22"/>
        <v>9.167584276827314E-3</v>
      </c>
      <c r="AK16" s="37">
        <f t="shared" si="11"/>
        <v>0.27380387691089825</v>
      </c>
      <c r="AL16" s="37">
        <f t="shared" si="12"/>
        <v>0.20879999999999999</v>
      </c>
      <c r="AM16" s="37">
        <f t="shared" si="13"/>
        <v>1.1897599999999999</v>
      </c>
      <c r="AN16" s="40">
        <f t="shared" si="23"/>
        <v>1.3985599999999998</v>
      </c>
      <c r="AO16" s="39">
        <f t="shared" si="14"/>
        <v>5.4664577195840443E-3</v>
      </c>
      <c r="AP16" s="37">
        <f t="shared" si="15"/>
        <v>0.58509</v>
      </c>
      <c r="AQ16" s="40">
        <f t="shared" si="16"/>
        <v>6.7499999999999999E-3</v>
      </c>
      <c r="AR16" s="39">
        <f t="shared" si="24"/>
        <v>4.9426440312584363</v>
      </c>
      <c r="AS16" s="37">
        <f t="shared" si="25"/>
        <v>19.259999999999998</v>
      </c>
      <c r="AT16" s="40">
        <f t="shared" si="26"/>
        <v>79.578082357965258</v>
      </c>
    </row>
    <row r="17" spans="17:46" x14ac:dyDescent="0.25">
      <c r="Q17">
        <v>10</v>
      </c>
      <c r="R17" s="39">
        <f t="shared" si="0"/>
        <v>53.5</v>
      </c>
      <c r="S17" s="37">
        <f t="shared" si="1"/>
        <v>0.4</v>
      </c>
      <c r="T17" s="37">
        <f t="shared" si="2"/>
        <v>15</v>
      </c>
      <c r="U17" s="40">
        <f t="shared" si="3"/>
        <v>1.5851851851851853</v>
      </c>
      <c r="V17" s="39">
        <f t="shared" si="4"/>
        <v>1</v>
      </c>
      <c r="W17" s="37">
        <f t="shared" si="5"/>
        <v>0.32926585003610687</v>
      </c>
      <c r="X17" s="40">
        <f t="shared" si="6"/>
        <v>6.773468915028483E-3</v>
      </c>
      <c r="Y17" s="39">
        <f t="shared" si="7"/>
        <v>6.2360956446232363</v>
      </c>
      <c r="Z17" s="37">
        <f t="shared" si="28"/>
        <v>6.2360956446232363</v>
      </c>
      <c r="AA17" s="37">
        <f t="shared" si="29"/>
        <v>2.0871188863270027</v>
      </c>
      <c r="AB17" s="37">
        <v>0</v>
      </c>
      <c r="AC17" s="37">
        <f t="shared" si="8"/>
        <v>8.7121304913257355E-3</v>
      </c>
      <c r="AD17" s="40">
        <f t="shared" si="19"/>
        <v>8.7121304913257355E-3</v>
      </c>
      <c r="AE17" s="39">
        <f t="shared" si="27"/>
        <v>0.52194734746464355</v>
      </c>
      <c r="AF17" s="37">
        <f t="shared" si="20"/>
        <v>2.0659770131796167</v>
      </c>
      <c r="AG17" s="37">
        <f t="shared" si="9"/>
        <v>0</v>
      </c>
      <c r="AH17" s="37">
        <f t="shared" si="10"/>
        <v>3.2659322512445019</v>
      </c>
      <c r="AI17" s="40">
        <f t="shared" si="21"/>
        <v>3.2659322512445019</v>
      </c>
      <c r="AJ17" s="39">
        <f t="shared" si="22"/>
        <v>1.0737202576415522E-2</v>
      </c>
      <c r="AK17" s="37">
        <f t="shared" si="11"/>
        <v>0.2963177798855397</v>
      </c>
      <c r="AL17" s="37">
        <f t="shared" si="12"/>
        <v>0.23199999999999998</v>
      </c>
      <c r="AM17" s="37">
        <f t="shared" si="13"/>
        <v>1.1897599999999999</v>
      </c>
      <c r="AN17" s="40">
        <f t="shared" si="23"/>
        <v>1.4217599999999999</v>
      </c>
      <c r="AO17" s="39">
        <f t="shared" si="14"/>
        <v>6.4023915284798557E-3</v>
      </c>
      <c r="AP17" s="37">
        <f t="shared" si="15"/>
        <v>0.58509</v>
      </c>
      <c r="AQ17" s="40">
        <f t="shared" si="16"/>
        <v>6.7499999999999999E-3</v>
      </c>
      <c r="AR17" s="39">
        <f t="shared" si="24"/>
        <v>5.294646773264307</v>
      </c>
      <c r="AS17" s="37">
        <f t="shared" si="25"/>
        <v>21.400000000000002</v>
      </c>
      <c r="AT17" s="40">
        <f t="shared" si="26"/>
        <v>80.165885624052919</v>
      </c>
    </row>
    <row r="18" spans="17:46" x14ac:dyDescent="0.25">
      <c r="Q18">
        <v>11</v>
      </c>
      <c r="R18" s="39">
        <f t="shared" si="0"/>
        <v>53.5</v>
      </c>
      <c r="S18" s="37">
        <f t="shared" si="1"/>
        <v>0.44</v>
      </c>
      <c r="T18" s="37">
        <f t="shared" si="2"/>
        <v>15</v>
      </c>
      <c r="U18" s="40">
        <f t="shared" si="3"/>
        <v>1.7437037037037035</v>
      </c>
      <c r="V18" s="39">
        <f t="shared" si="4"/>
        <v>1</v>
      </c>
      <c r="W18" s="37">
        <f t="shared" si="5"/>
        <v>0.34533693691813505</v>
      </c>
      <c r="X18" s="40">
        <f t="shared" si="6"/>
        <v>7.1040741308873489E-3</v>
      </c>
      <c r="Y18" s="39">
        <f t="shared" si="7"/>
        <v>6.5404722901161945</v>
      </c>
      <c r="Z18" s="37">
        <f t="shared" si="28"/>
        <v>6.5404722901161945</v>
      </c>
      <c r="AA18" s="37">
        <f t="shared" si="29"/>
        <v>2.2417733494141348</v>
      </c>
      <c r="AB18" s="37">
        <v>0</v>
      </c>
      <c r="AC18" s="37">
        <f t="shared" si="8"/>
        <v>1.0051095500286938E-2</v>
      </c>
      <c r="AD18" s="40">
        <f t="shared" si="19"/>
        <v>1.0051095500286938E-2</v>
      </c>
      <c r="AE18" s="39">
        <f t="shared" si="27"/>
        <v>0.60216529592984436</v>
      </c>
      <c r="AF18" s="37">
        <f t="shared" si="20"/>
        <v>2.2190648740661341</v>
      </c>
      <c r="AG18" s="37">
        <f t="shared" si="9"/>
        <v>0</v>
      </c>
      <c r="AH18" s="37">
        <f t="shared" si="10"/>
        <v>3.5925254763689516</v>
      </c>
      <c r="AI18" s="40">
        <f t="shared" si="21"/>
        <v>3.5925254763689516</v>
      </c>
      <c r="AJ18" s="39">
        <f t="shared" si="22"/>
        <v>1.2387400373413938E-2</v>
      </c>
      <c r="AK18" s="37">
        <f t="shared" si="11"/>
        <v>0.31827477881434402</v>
      </c>
      <c r="AL18" s="37">
        <f t="shared" si="12"/>
        <v>0.25519999999999998</v>
      </c>
      <c r="AM18" s="37">
        <f t="shared" si="13"/>
        <v>1.1897599999999999</v>
      </c>
      <c r="AN18" s="40">
        <f t="shared" si="23"/>
        <v>1.44496</v>
      </c>
      <c r="AO18" s="39">
        <f t="shared" si="14"/>
        <v>7.3863733729712215E-3</v>
      </c>
      <c r="AP18" s="37">
        <f t="shared" si="15"/>
        <v>0.58509</v>
      </c>
      <c r="AQ18" s="40">
        <f t="shared" si="16"/>
        <v>6.7499999999999999E-3</v>
      </c>
      <c r="AR18" s="39">
        <f t="shared" si="24"/>
        <v>5.6467629452422097</v>
      </c>
      <c r="AS18" s="37">
        <f t="shared" si="25"/>
        <v>23.54</v>
      </c>
      <c r="AT18" s="40">
        <f t="shared" si="26"/>
        <v>80.653000280174268</v>
      </c>
    </row>
    <row r="19" spans="17:46" x14ac:dyDescent="0.25">
      <c r="Q19">
        <v>12</v>
      </c>
      <c r="R19" s="39">
        <f t="shared" si="0"/>
        <v>53.5</v>
      </c>
      <c r="S19" s="37">
        <f t="shared" si="1"/>
        <v>0.48</v>
      </c>
      <c r="T19" s="37">
        <f t="shared" si="2"/>
        <v>15</v>
      </c>
      <c r="U19" s="40">
        <f t="shared" si="3"/>
        <v>1.9022222222222223</v>
      </c>
      <c r="V19" s="39">
        <f t="shared" si="4"/>
        <v>1</v>
      </c>
      <c r="W19" s="37">
        <f t="shared" si="5"/>
        <v>0.36069266696177787</v>
      </c>
      <c r="X19" s="40">
        <f t="shared" si="6"/>
        <v>7.4199634346422882E-3</v>
      </c>
      <c r="Y19" s="39">
        <f t="shared" si="7"/>
        <v>6.8313005106397329</v>
      </c>
      <c r="Z19" s="37">
        <f t="shared" si="28"/>
        <v>6.8313005106397329</v>
      </c>
      <c r="AA19" s="37">
        <f t="shared" si="29"/>
        <v>2.3929472356976875</v>
      </c>
      <c r="AB19" s="37">
        <v>0</v>
      </c>
      <c r="AC19" s="37">
        <f t="shared" si="8"/>
        <v>1.1452392945666409E-2</v>
      </c>
      <c r="AD19" s="40">
        <f t="shared" si="19"/>
        <v>1.1452392945666409E-2</v>
      </c>
      <c r="AE19" s="39">
        <f t="shared" si="27"/>
        <v>0.68611760648729303</v>
      </c>
      <c r="AF19" s="37">
        <f t="shared" si="20"/>
        <v>2.3687074153228456</v>
      </c>
      <c r="AG19" s="37">
        <f t="shared" si="9"/>
        <v>0</v>
      </c>
      <c r="AH19" s="37">
        <f t="shared" si="10"/>
        <v>3.9191187014934026</v>
      </c>
      <c r="AI19" s="40">
        <f t="shared" si="21"/>
        <v>3.9191187014934026</v>
      </c>
      <c r="AJ19" s="39">
        <f t="shared" si="22"/>
        <v>1.4114419333452886E-2</v>
      </c>
      <c r="AK19" s="37">
        <f t="shared" si="11"/>
        <v>0.33973762439236688</v>
      </c>
      <c r="AL19" s="37">
        <f t="shared" si="12"/>
        <v>0.27839999999999998</v>
      </c>
      <c r="AM19" s="37">
        <f t="shared" si="13"/>
        <v>1.1897599999999999</v>
      </c>
      <c r="AN19" s="40">
        <f t="shared" si="23"/>
        <v>1.4681599999999999</v>
      </c>
      <c r="AO19" s="39">
        <f t="shared" si="14"/>
        <v>8.4161622291081522E-3</v>
      </c>
      <c r="AP19" s="37">
        <f t="shared" si="15"/>
        <v>0.58509</v>
      </c>
      <c r="AQ19" s="40">
        <f t="shared" si="16"/>
        <v>6.7499999999999999E-3</v>
      </c>
      <c r="AR19" s="39">
        <f t="shared" si="24"/>
        <v>5.9989872566681779</v>
      </c>
      <c r="AS19" s="37">
        <f t="shared" si="25"/>
        <v>25.68</v>
      </c>
      <c r="AT19" s="40">
        <f t="shared" si="26"/>
        <v>81.063197481461657</v>
      </c>
    </row>
    <row r="20" spans="17:46" x14ac:dyDescent="0.25">
      <c r="Q20">
        <v>13</v>
      </c>
      <c r="R20" s="39">
        <f t="shared" si="0"/>
        <v>53.5</v>
      </c>
      <c r="S20" s="37">
        <f t="shared" si="1"/>
        <v>0.52</v>
      </c>
      <c r="T20" s="37">
        <f t="shared" si="2"/>
        <v>15</v>
      </c>
      <c r="U20" s="40">
        <f t="shared" si="3"/>
        <v>2.0607407407407408</v>
      </c>
      <c r="V20" s="39">
        <f t="shared" si="4"/>
        <v>1</v>
      </c>
      <c r="W20" s="37">
        <f t="shared" si="5"/>
        <v>0.3754208305355472</v>
      </c>
      <c r="X20" s="40">
        <f t="shared" si="6"/>
        <v>7.7229427995883998E-3</v>
      </c>
      <c r="Y20" s="39">
        <f t="shared" si="7"/>
        <v>7.1102430025671817</v>
      </c>
      <c r="Z20" s="37">
        <f t="shared" si="28"/>
        <v>7.1102430025671817</v>
      </c>
      <c r="AA20" s="37">
        <f t="shared" si="29"/>
        <v>2.5410002176708315</v>
      </c>
      <c r="AB20" s="37">
        <v>0</v>
      </c>
      <c r="AC20" s="37">
        <f t="shared" si="8"/>
        <v>1.2913364212406426E-2</v>
      </c>
      <c r="AD20" s="40">
        <f t="shared" si="19"/>
        <v>1.2913364212406426E-2</v>
      </c>
      <c r="AE20" s="39">
        <f t="shared" si="27"/>
        <v>0.77364500040732764</v>
      </c>
      <c r="AF20" s="37">
        <f t="shared" si="20"/>
        <v>2.5152606660710584</v>
      </c>
      <c r="AG20" s="37">
        <f t="shared" si="9"/>
        <v>0</v>
      </c>
      <c r="AH20" s="37">
        <f t="shared" si="10"/>
        <v>4.2457119266178518</v>
      </c>
      <c r="AI20" s="40">
        <f t="shared" si="21"/>
        <v>4.2457119266178518</v>
      </c>
      <c r="AJ20" s="39">
        <f t="shared" si="22"/>
        <v>1.5914982865522169E-2</v>
      </c>
      <c r="AK20" s="37">
        <f t="shared" si="11"/>
        <v>0.36075738096259341</v>
      </c>
      <c r="AL20" s="37">
        <f t="shared" si="12"/>
        <v>0.30159999999999998</v>
      </c>
      <c r="AM20" s="37">
        <f t="shared" si="13"/>
        <v>1.1897599999999999</v>
      </c>
      <c r="AN20" s="40">
        <f t="shared" si="23"/>
        <v>1.4913599999999998</v>
      </c>
      <c r="AO20" s="39">
        <f t="shared" si="14"/>
        <v>9.489804327426337E-3</v>
      </c>
      <c r="AP20" s="37">
        <f t="shared" si="15"/>
        <v>0.58509</v>
      </c>
      <c r="AQ20" s="40">
        <f t="shared" si="16"/>
        <v>6.7499999999999999E-3</v>
      </c>
      <c r="AR20" s="39">
        <f t="shared" si="24"/>
        <v>6.351315095157684</v>
      </c>
      <c r="AS20" s="37">
        <f t="shared" si="25"/>
        <v>27.82</v>
      </c>
      <c r="AT20" s="40">
        <f t="shared" si="26"/>
        <v>81.413313835095252</v>
      </c>
    </row>
    <row r="21" spans="17:46" x14ac:dyDescent="0.25">
      <c r="Q21">
        <v>14</v>
      </c>
      <c r="R21" s="39">
        <f t="shared" si="0"/>
        <v>53.5</v>
      </c>
      <c r="S21" s="37">
        <f t="shared" si="1"/>
        <v>0.56000000000000005</v>
      </c>
      <c r="T21" s="37">
        <f t="shared" si="2"/>
        <v>15</v>
      </c>
      <c r="U21" s="40">
        <f t="shared" si="3"/>
        <v>2.2192592592592595</v>
      </c>
      <c r="V21" s="39">
        <f t="shared" si="4"/>
        <v>1</v>
      </c>
      <c r="W21" s="37">
        <f t="shared" si="5"/>
        <v>0.38959260773274434</v>
      </c>
      <c r="X21" s="40">
        <f t="shared" si="6"/>
        <v>8.0144765019307396E-3</v>
      </c>
      <c r="Y21" s="39">
        <f t="shared" si="7"/>
        <v>7.3786478737262184</v>
      </c>
      <c r="Z21" s="37">
        <f t="shared" si="28"/>
        <v>7.3786478737262184</v>
      </c>
      <c r="AA21" s="37">
        <f t="shared" si="29"/>
        <v>2.6862301222054867</v>
      </c>
      <c r="AB21" s="37">
        <v>0</v>
      </c>
      <c r="AC21" s="37">
        <f t="shared" si="8"/>
        <v>1.4431664538888209E-2</v>
      </c>
      <c r="AD21" s="40">
        <f t="shared" si="19"/>
        <v>1.4431664538888209E-2</v>
      </c>
      <c r="AE21" s="39">
        <f t="shared" si="27"/>
        <v>0.86460700204985341</v>
      </c>
      <c r="AF21" s="37">
        <f t="shared" si="20"/>
        <v>2.6590194362879731</v>
      </c>
      <c r="AG21" s="37">
        <f t="shared" si="9"/>
        <v>0</v>
      </c>
      <c r="AH21" s="37">
        <f t="shared" si="10"/>
        <v>4.5723051517423032</v>
      </c>
      <c r="AI21" s="40">
        <f t="shared" si="21"/>
        <v>4.5723051517423032</v>
      </c>
      <c r="AJ21" s="39">
        <f t="shared" si="22"/>
        <v>1.7786201185025555E-2</v>
      </c>
      <c r="AK21" s="37">
        <f t="shared" si="11"/>
        <v>0.3813763323633117</v>
      </c>
      <c r="AL21" s="37">
        <f t="shared" si="12"/>
        <v>0.32480000000000003</v>
      </c>
      <c r="AM21" s="37">
        <f t="shared" si="13"/>
        <v>1.1897599999999999</v>
      </c>
      <c r="AN21" s="40">
        <f t="shared" si="23"/>
        <v>1.5145599999999999</v>
      </c>
      <c r="AO21" s="39">
        <f t="shared" si="14"/>
        <v>1.0605576543835817E-2</v>
      </c>
      <c r="AP21" s="37">
        <f t="shared" si="15"/>
        <v>0.58509</v>
      </c>
      <c r="AQ21" s="40">
        <f t="shared" si="16"/>
        <v>6.7499999999999999E-3</v>
      </c>
      <c r="AR21" s="39">
        <f t="shared" si="24"/>
        <v>6.7037423928250268</v>
      </c>
      <c r="AS21" s="37">
        <f t="shared" si="25"/>
        <v>29.960000000000004</v>
      </c>
      <c r="AT21" s="40">
        <f t="shared" si="26"/>
        <v>81.715607967677286</v>
      </c>
    </row>
    <row r="22" spans="17:46" x14ac:dyDescent="0.25">
      <c r="Q22">
        <v>15</v>
      </c>
      <c r="R22" s="39">
        <f t="shared" si="0"/>
        <v>53.5</v>
      </c>
      <c r="S22" s="37">
        <f t="shared" si="1"/>
        <v>0.6</v>
      </c>
      <c r="T22" s="37">
        <f t="shared" si="2"/>
        <v>15</v>
      </c>
      <c r="U22" s="40">
        <f t="shared" si="3"/>
        <v>2.3777777777777778</v>
      </c>
      <c r="V22" s="39">
        <f t="shared" si="4"/>
        <v>1</v>
      </c>
      <c r="W22" s="37">
        <f t="shared" si="5"/>
        <v>0.40326666115611393</v>
      </c>
      <c r="X22" s="40">
        <f t="shared" si="6"/>
        <v>8.2957713152114858E-3</v>
      </c>
      <c r="Y22" s="39">
        <f t="shared" si="7"/>
        <v>7.6376261582597325</v>
      </c>
      <c r="Z22" s="37">
        <f t="shared" si="28"/>
        <v>7.6376261582597325</v>
      </c>
      <c r="AA22" s="37">
        <f t="shared" si="29"/>
        <v>2.8288872111855401</v>
      </c>
      <c r="AB22" s="37">
        <v>0</v>
      </c>
      <c r="AC22" s="37">
        <f t="shared" si="8"/>
        <v>1.6005205707218206E-2</v>
      </c>
      <c r="AD22" s="40">
        <f t="shared" si="19"/>
        <v>1.6005205707218206E-2</v>
      </c>
      <c r="AE22" s="39">
        <f t="shared" si="27"/>
        <v>0.95887850541564867</v>
      </c>
      <c r="AF22" s="37">
        <f t="shared" si="20"/>
        <v>2.8002314527814764</v>
      </c>
      <c r="AG22" s="37">
        <f t="shared" si="9"/>
        <v>0</v>
      </c>
      <c r="AH22" s="37">
        <f t="shared" si="10"/>
        <v>4.898898376866752</v>
      </c>
      <c r="AI22" s="40">
        <f t="shared" si="21"/>
        <v>4.898898376866752</v>
      </c>
      <c r="AJ22" s="39">
        <f t="shared" si="22"/>
        <v>1.9725500682836201E-2</v>
      </c>
      <c r="AK22" s="37">
        <f t="shared" si="11"/>
        <v>0.40163000941469196</v>
      </c>
      <c r="AL22" s="37">
        <f t="shared" si="12"/>
        <v>0.34799999999999998</v>
      </c>
      <c r="AM22" s="37">
        <f t="shared" si="13"/>
        <v>1.1897599999999999</v>
      </c>
      <c r="AN22" s="40">
        <f t="shared" si="23"/>
        <v>1.53776</v>
      </c>
      <c r="AO22" s="39">
        <f t="shared" si="14"/>
        <v>1.1761944283719988E-2</v>
      </c>
      <c r="AP22" s="37">
        <f t="shared" si="15"/>
        <v>0.58509</v>
      </c>
      <c r="AQ22" s="40">
        <f t="shared" si="16"/>
        <v>6.7499999999999999E-3</v>
      </c>
      <c r="AR22" s="39">
        <f t="shared" si="24"/>
        <v>7.0562655268576906</v>
      </c>
      <c r="AS22" s="37">
        <f t="shared" si="25"/>
        <v>32.1</v>
      </c>
      <c r="AT22" s="40">
        <f t="shared" si="26"/>
        <v>81.979217292778529</v>
      </c>
    </row>
    <row r="23" spans="17:46" x14ac:dyDescent="0.25">
      <c r="Q23">
        <v>16</v>
      </c>
      <c r="R23" s="39">
        <f t="shared" si="0"/>
        <v>53.5</v>
      </c>
      <c r="S23" s="37">
        <f t="shared" si="1"/>
        <v>0.64</v>
      </c>
      <c r="T23" s="37">
        <f t="shared" si="2"/>
        <v>15</v>
      </c>
      <c r="U23" s="40">
        <f t="shared" si="3"/>
        <v>2.5362962962962965</v>
      </c>
      <c r="V23" s="39">
        <f t="shared" si="4"/>
        <v>1</v>
      </c>
      <c r="W23" s="37">
        <f t="shared" si="5"/>
        <v>0.41649201673021302</v>
      </c>
      <c r="X23" s="40">
        <f t="shared" si="6"/>
        <v>8.5678357727358087E-3</v>
      </c>
      <c r="Y23" s="39">
        <f t="shared" si="7"/>
        <v>7.8881063774661557</v>
      </c>
      <c r="Z23" s="37">
        <f t="shared" si="28"/>
        <v>7.8881063774661557</v>
      </c>
      <c r="AA23" s="37">
        <f t="shared" si="29"/>
        <v>2.9691844334869404</v>
      </c>
      <c r="AB23" s="37">
        <v>0</v>
      </c>
      <c r="AC23" s="37">
        <f t="shared" si="8"/>
        <v>1.7632112400122329E-2</v>
      </c>
      <c r="AD23" s="40">
        <f t="shared" si="19"/>
        <v>1.7632112400122329E-2</v>
      </c>
      <c r="AE23" s="39">
        <f t="shared" si="27"/>
        <v>1.0563471594698144</v>
      </c>
      <c r="AF23" s="37">
        <f t="shared" si="20"/>
        <v>2.9391075073208204</v>
      </c>
      <c r="AG23" s="37">
        <f t="shared" si="9"/>
        <v>0</v>
      </c>
      <c r="AH23" s="37">
        <f t="shared" si="10"/>
        <v>5.2254916019912034</v>
      </c>
      <c r="AI23" s="40">
        <f t="shared" si="21"/>
        <v>5.2254916019912034</v>
      </c>
      <c r="AJ23" s="39">
        <f t="shared" si="22"/>
        <v>2.1730570137664749E-2</v>
      </c>
      <c r="AK23" s="37">
        <f t="shared" si="11"/>
        <v>0.42154864543912079</v>
      </c>
      <c r="AL23" s="37">
        <f t="shared" si="12"/>
        <v>0.37119999999999997</v>
      </c>
      <c r="AM23" s="37">
        <f t="shared" si="13"/>
        <v>1.1897599999999999</v>
      </c>
      <c r="AN23" s="40">
        <f t="shared" si="23"/>
        <v>1.5609599999999999</v>
      </c>
      <c r="AO23" s="39">
        <f t="shared" si="14"/>
        <v>1.2957529409384409E-2</v>
      </c>
      <c r="AP23" s="37">
        <f t="shared" si="15"/>
        <v>0.58509</v>
      </c>
      <c r="AQ23" s="40">
        <f t="shared" si="16"/>
        <v>6.7499999999999999E-3</v>
      </c>
      <c r="AR23" s="39">
        <f t="shared" si="24"/>
        <v>7.4088812438007103</v>
      </c>
      <c r="AS23" s="37">
        <f t="shared" si="25"/>
        <v>34.24</v>
      </c>
      <c r="AT23" s="40">
        <f t="shared" si="26"/>
        <v>82.211091816773603</v>
      </c>
    </row>
    <row r="24" spans="17:46" x14ac:dyDescent="0.25">
      <c r="Q24">
        <v>17</v>
      </c>
      <c r="R24" s="39">
        <f t="shared" si="0"/>
        <v>53.5</v>
      </c>
      <c r="S24" s="37">
        <f t="shared" si="1"/>
        <v>0.68</v>
      </c>
      <c r="T24" s="37">
        <f t="shared" si="2"/>
        <v>15</v>
      </c>
      <c r="U24" s="40">
        <f t="shared" si="3"/>
        <v>2.6948148148148152</v>
      </c>
      <c r="V24" s="39">
        <f t="shared" si="4"/>
        <v>1</v>
      </c>
      <c r="W24" s="37">
        <f t="shared" si="5"/>
        <v>0.42931014430129649</v>
      </c>
      <c r="X24" s="40">
        <f t="shared" si="6"/>
        <v>8.8315229684838119E-3</v>
      </c>
      <c r="Y24" s="39">
        <f t="shared" si="7"/>
        <v>8.130873945100312</v>
      </c>
      <c r="Z24" s="37">
        <f t="shared" si="28"/>
        <v>8.130873945100312</v>
      </c>
      <c r="AA24" s="37">
        <f t="shared" si="29"/>
        <v>3.1073049655760063</v>
      </c>
      <c r="AB24" s="37">
        <v>0</v>
      </c>
      <c r="AC24" s="37">
        <f t="shared" si="8"/>
        <v>1.9310688298186614E-2</v>
      </c>
      <c r="AD24" s="40">
        <f t="shared" si="19"/>
        <v>1.9310688298186614E-2</v>
      </c>
      <c r="AE24" s="39">
        <f t="shared" si="27"/>
        <v>1.1569113370134199</v>
      </c>
      <c r="AF24" s="37">
        <f t="shared" si="20"/>
        <v>3.0758289208509932</v>
      </c>
      <c r="AG24" s="37">
        <f t="shared" si="9"/>
        <v>0</v>
      </c>
      <c r="AH24" s="37">
        <f t="shared" si="10"/>
        <v>5.552084827115654</v>
      </c>
      <c r="AI24" s="40">
        <f t="shared" si="21"/>
        <v>5.552084827115654</v>
      </c>
      <c r="AJ24" s="39">
        <f t="shared" si="22"/>
        <v>2.379931893284749E-2</v>
      </c>
      <c r="AK24" s="37">
        <f t="shared" si="11"/>
        <v>0.44115824683430893</v>
      </c>
      <c r="AL24" s="37">
        <f t="shared" si="12"/>
        <v>0.39440000000000003</v>
      </c>
      <c r="AM24" s="37">
        <f t="shared" si="13"/>
        <v>1.1897599999999999</v>
      </c>
      <c r="AN24" s="40">
        <f t="shared" si="23"/>
        <v>1.58416</v>
      </c>
      <c r="AO24" s="39">
        <f t="shared" si="14"/>
        <v>1.4191085325515078E-2</v>
      </c>
      <c r="AP24" s="37">
        <f t="shared" si="15"/>
        <v>0.58509</v>
      </c>
      <c r="AQ24" s="40">
        <f t="shared" si="16"/>
        <v>6.7499999999999999E-3</v>
      </c>
      <c r="AR24" s="39">
        <f t="shared" si="24"/>
        <v>7.7615866007393564</v>
      </c>
      <c r="AS24" s="37">
        <f t="shared" si="25"/>
        <v>36.380000000000003</v>
      </c>
      <c r="AT24" s="40">
        <f t="shared" si="26"/>
        <v>82.416611638945142</v>
      </c>
    </row>
    <row r="25" spans="17:46" x14ac:dyDescent="0.25">
      <c r="Q25">
        <v>18</v>
      </c>
      <c r="R25" s="39">
        <f t="shared" si="0"/>
        <v>53.5</v>
      </c>
      <c r="S25" s="37">
        <f t="shared" si="1"/>
        <v>0.72</v>
      </c>
      <c r="T25" s="37">
        <f t="shared" si="2"/>
        <v>15</v>
      </c>
      <c r="U25" s="40">
        <f t="shared" si="3"/>
        <v>2.8533333333333331</v>
      </c>
      <c r="V25" s="39">
        <f t="shared" si="4"/>
        <v>1</v>
      </c>
      <c r="W25" s="37">
        <f t="shared" si="5"/>
        <v>0.4417564940099919</v>
      </c>
      <c r="X25" s="40">
        <f t="shared" si="6"/>
        <v>9.0875621624912622E-3</v>
      </c>
      <c r="Y25" s="39">
        <f t="shared" si="7"/>
        <v>8.3666002653407556</v>
      </c>
      <c r="Z25" s="37">
        <f t="shared" si="28"/>
        <v>8.3666002653407556</v>
      </c>
      <c r="AA25" s="37">
        <f t="shared" si="29"/>
        <v>3.2434078750636046</v>
      </c>
      <c r="AB25" s="37">
        <v>0</v>
      </c>
      <c r="AC25" s="37">
        <f t="shared" si="8"/>
        <v>2.1039389288049215E-2</v>
      </c>
      <c r="AD25" s="40">
        <f t="shared" si="19"/>
        <v>2.1039389288049215E-2</v>
      </c>
      <c r="AE25" s="39">
        <f t="shared" si="27"/>
        <v>1.2604785295751768</v>
      </c>
      <c r="AF25" s="37">
        <f t="shared" si="20"/>
        <v>3.2105531496768296</v>
      </c>
      <c r="AG25" s="37">
        <f t="shared" si="9"/>
        <v>0</v>
      </c>
      <c r="AH25" s="37">
        <f t="shared" si="10"/>
        <v>5.8786780522401019</v>
      </c>
      <c r="AI25" s="40">
        <f t="shared" si="21"/>
        <v>5.8786780522401019</v>
      </c>
      <c r="AJ25" s="39">
        <f t="shared" si="22"/>
        <v>2.5929844036975066E-2</v>
      </c>
      <c r="AK25" s="37">
        <f t="shared" si="11"/>
        <v>0.46048139715388731</v>
      </c>
      <c r="AL25" s="37">
        <f t="shared" si="12"/>
        <v>0.41759999999999997</v>
      </c>
      <c r="AM25" s="37">
        <f t="shared" si="13"/>
        <v>1.1897599999999999</v>
      </c>
      <c r="AN25" s="40">
        <f t="shared" si="23"/>
        <v>1.6073599999999999</v>
      </c>
      <c r="AO25" s="39">
        <f t="shared" si="14"/>
        <v>1.5461477290349716E-2</v>
      </c>
      <c r="AP25" s="37">
        <f t="shared" si="15"/>
        <v>0.58509</v>
      </c>
      <c r="AQ25" s="40">
        <f t="shared" si="16"/>
        <v>6.7499999999999999E-3</v>
      </c>
      <c r="AR25" s="39">
        <f t="shared" si="24"/>
        <v>8.1143789188185007</v>
      </c>
      <c r="AS25" s="37">
        <f t="shared" si="25"/>
        <v>38.519999999999996</v>
      </c>
      <c r="AT25" s="40">
        <f t="shared" si="26"/>
        <v>82.600006461018651</v>
      </c>
    </row>
    <row r="26" spans="17:46" x14ac:dyDescent="0.25">
      <c r="Q26">
        <v>19</v>
      </c>
      <c r="R26" s="39">
        <f t="shared" si="0"/>
        <v>53.5</v>
      </c>
      <c r="S26" s="37">
        <f t="shared" si="1"/>
        <v>0.76</v>
      </c>
      <c r="T26" s="37">
        <f t="shared" si="2"/>
        <v>15</v>
      </c>
      <c r="U26" s="40">
        <f t="shared" si="3"/>
        <v>3.0118518518518522</v>
      </c>
      <c r="V26" s="39">
        <f t="shared" si="4"/>
        <v>1</v>
      </c>
      <c r="W26" s="37">
        <f t="shared" si="5"/>
        <v>0.45386165292961245</v>
      </c>
      <c r="X26" s="40">
        <f t="shared" si="6"/>
        <v>9.336582574552027E-3</v>
      </c>
      <c r="Y26" s="39">
        <f t="shared" si="7"/>
        <v>8.5958646388184174</v>
      </c>
      <c r="Z26" s="37">
        <f t="shared" si="28"/>
        <v>8.5958646388184174</v>
      </c>
      <c r="AA26" s="37">
        <f t="shared" si="29"/>
        <v>3.3776324527049315</v>
      </c>
      <c r="AB26" s="37">
        <v>0</v>
      </c>
      <c r="AC26" s="37">
        <f t="shared" si="8"/>
        <v>2.2816801971131066E-2</v>
      </c>
      <c r="AD26" s="40">
        <f t="shared" si="19"/>
        <v>2.2816801971131066E-2</v>
      </c>
      <c r="AE26" s="39">
        <f t="shared" si="27"/>
        <v>1.3669640598605959</v>
      </c>
      <c r="AF26" s="37">
        <f t="shared" si="20"/>
        <v>3.3434180735809664</v>
      </c>
      <c r="AG26" s="37">
        <f t="shared" si="9"/>
        <v>0</v>
      </c>
      <c r="AH26" s="37">
        <f t="shared" si="10"/>
        <v>6.2052712773645551</v>
      </c>
      <c r="AI26" s="40">
        <f t="shared" si="21"/>
        <v>6.2052712773645551</v>
      </c>
      <c r="AJ26" s="39">
        <f t="shared" si="22"/>
        <v>2.8120403517132256E-2</v>
      </c>
      <c r="AK26" s="37">
        <f t="shared" si="11"/>
        <v>0.47953787214115867</v>
      </c>
      <c r="AL26" s="37">
        <f t="shared" si="12"/>
        <v>0.44079999999999997</v>
      </c>
      <c r="AM26" s="37">
        <f t="shared" si="13"/>
        <v>1.1897599999999999</v>
      </c>
      <c r="AN26" s="40">
        <f t="shared" si="23"/>
        <v>1.63056</v>
      </c>
      <c r="AO26" s="39">
        <f t="shared" si="14"/>
        <v>1.6767666622121789E-2</v>
      </c>
      <c r="AP26" s="37">
        <f t="shared" si="15"/>
        <v>0.58509</v>
      </c>
      <c r="AQ26" s="40">
        <f t="shared" si="16"/>
        <v>6.7499999999999999E-3</v>
      </c>
      <c r="AR26" s="39">
        <f t="shared" si="24"/>
        <v>8.4672557459578073</v>
      </c>
      <c r="AS26" s="37">
        <f t="shared" si="25"/>
        <v>40.660000000000004</v>
      </c>
      <c r="AT26" s="40">
        <f t="shared" si="26"/>
        <v>82.764647409285644</v>
      </c>
    </row>
    <row r="27" spans="17:46" x14ac:dyDescent="0.25">
      <c r="Q27">
        <v>20</v>
      </c>
      <c r="R27" s="39">
        <f t="shared" si="0"/>
        <v>53.5</v>
      </c>
      <c r="S27" s="37">
        <f t="shared" si="1"/>
        <v>0.8</v>
      </c>
      <c r="T27" s="37">
        <f t="shared" si="2"/>
        <v>15</v>
      </c>
      <c r="U27" s="40">
        <f t="shared" si="3"/>
        <v>3.1703703703703705</v>
      </c>
      <c r="V27" s="39">
        <f t="shared" si="4"/>
        <v>1</v>
      </c>
      <c r="W27" s="37">
        <f t="shared" si="5"/>
        <v>0.46565223074736795</v>
      </c>
      <c r="X27" s="40">
        <f t="shared" si="6"/>
        <v>9.5791316039458545E-3</v>
      </c>
      <c r="Y27" s="39">
        <f t="shared" si="7"/>
        <v>8.8191710368819685</v>
      </c>
      <c r="Z27" s="37">
        <f t="shared" si="28"/>
        <v>8.8191710368819685</v>
      </c>
      <c r="AA27" s="37">
        <f t="shared" si="29"/>
        <v>3.5101015794414021</v>
      </c>
      <c r="AB27" s="37">
        <v>0</v>
      </c>
      <c r="AC27" s="37">
        <f t="shared" si="8"/>
        <v>2.4641626195994051E-2</v>
      </c>
      <c r="AD27" s="40">
        <f t="shared" si="19"/>
        <v>2.4641626195994051E-2</v>
      </c>
      <c r="AE27" s="39">
        <f t="shared" si="27"/>
        <v>1.4762900352583221</v>
      </c>
      <c r="AF27" s="37">
        <f t="shared" si="20"/>
        <v>3.4745453287586314</v>
      </c>
      <c r="AG27" s="37">
        <f t="shared" si="9"/>
        <v>0</v>
      </c>
      <c r="AH27" s="37">
        <f t="shared" si="10"/>
        <v>6.5318645024890039</v>
      </c>
      <c r="AI27" s="40">
        <f t="shared" si="21"/>
        <v>6.5318645024890039</v>
      </c>
      <c r="AJ27" s="39">
        <f t="shared" si="22"/>
        <v>3.0369395011028342E-2</v>
      </c>
      <c r="AK27" s="37">
        <f t="shared" si="11"/>
        <v>0.49834511776337914</v>
      </c>
      <c r="AL27" s="37">
        <f t="shared" si="12"/>
        <v>0.46399999999999997</v>
      </c>
      <c r="AM27" s="37">
        <f t="shared" si="13"/>
        <v>1.1897599999999999</v>
      </c>
      <c r="AN27" s="40">
        <f t="shared" si="23"/>
        <v>1.6537599999999999</v>
      </c>
      <c r="AO27" s="39">
        <f t="shared" si="14"/>
        <v>1.8108697862397639E-2</v>
      </c>
      <c r="AP27" s="37">
        <f t="shared" si="15"/>
        <v>0.58509</v>
      </c>
      <c r="AQ27" s="40">
        <f t="shared" si="16"/>
        <v>6.7499999999999999E-3</v>
      </c>
      <c r="AR27" s="39">
        <f t="shared" si="24"/>
        <v>8.8202148265473941</v>
      </c>
      <c r="AS27" s="37">
        <f t="shared" si="25"/>
        <v>42.800000000000004</v>
      </c>
      <c r="AT27" s="40">
        <f t="shared" si="26"/>
        <v>82.913254320647837</v>
      </c>
    </row>
    <row r="28" spans="17:46" x14ac:dyDescent="0.25">
      <c r="Q28">
        <v>21</v>
      </c>
      <c r="R28" s="39">
        <f t="shared" si="0"/>
        <v>53.5</v>
      </c>
      <c r="S28" s="37">
        <f t="shared" si="1"/>
        <v>0.84</v>
      </c>
      <c r="T28" s="37">
        <f t="shared" si="2"/>
        <v>15</v>
      </c>
      <c r="U28" s="40">
        <f t="shared" si="3"/>
        <v>3.3288888888888888</v>
      </c>
      <c r="V28" s="39">
        <f t="shared" si="4"/>
        <v>1</v>
      </c>
      <c r="W28" s="37">
        <f t="shared" si="5"/>
        <v>0.47715154825275374</v>
      </c>
      <c r="X28" s="40">
        <f t="shared" si="6"/>
        <v>9.8156889926280765E-3</v>
      </c>
      <c r="Y28" s="39">
        <f t="shared" si="7"/>
        <v>9.0369611411506394</v>
      </c>
      <c r="Z28" s="37">
        <f t="shared" si="28"/>
        <v>9.0369611411506394</v>
      </c>
      <c r="AA28" s="37">
        <f t="shared" si="29"/>
        <v>3.6409243808729936</v>
      </c>
      <c r="AB28" s="37">
        <v>0</v>
      </c>
      <c r="AC28" s="37">
        <f t="shared" si="8"/>
        <v>2.6512660694470787E-2</v>
      </c>
      <c r="AD28" s="40">
        <f t="shared" si="19"/>
        <v>2.6512660694470787E-2</v>
      </c>
      <c r="AE28" s="39">
        <f t="shared" si="27"/>
        <v>1.5883844872947224</v>
      </c>
      <c r="AF28" s="37">
        <f t="shared" si="20"/>
        <v>3.6040429354009991</v>
      </c>
      <c r="AG28" s="37">
        <f t="shared" si="9"/>
        <v>0</v>
      </c>
      <c r="AH28" s="37">
        <f t="shared" si="10"/>
        <v>6.8584577276134544</v>
      </c>
      <c r="AI28" s="40">
        <f t="shared" si="21"/>
        <v>6.8584577276134544</v>
      </c>
      <c r="AJ28" s="39">
        <f t="shared" si="22"/>
        <v>3.2675338024348577E-2</v>
      </c>
      <c r="AK28" s="37">
        <f t="shared" si="11"/>
        <v>0.51691862707929392</v>
      </c>
      <c r="AL28" s="37">
        <f t="shared" si="12"/>
        <v>0.48719999999999997</v>
      </c>
      <c r="AM28" s="37">
        <f t="shared" si="13"/>
        <v>1.1897599999999999</v>
      </c>
      <c r="AN28" s="40">
        <f t="shared" si="23"/>
        <v>1.6769599999999998</v>
      </c>
      <c r="AO28" s="39">
        <f t="shared" si="14"/>
        <v>1.9483688220320775E-2</v>
      </c>
      <c r="AP28" s="37">
        <f t="shared" si="15"/>
        <v>0.58509</v>
      </c>
      <c r="AQ28" s="40">
        <f t="shared" si="16"/>
        <v>6.7499999999999999E-3</v>
      </c>
      <c r="AR28" s="39">
        <f t="shared" si="24"/>
        <v>9.1732540765282451</v>
      </c>
      <c r="AS28" s="37">
        <f t="shared" si="25"/>
        <v>44.94</v>
      </c>
      <c r="AT28" s="40">
        <f t="shared" si="26"/>
        <v>83.048045745770139</v>
      </c>
    </row>
    <row r="29" spans="17:46" x14ac:dyDescent="0.25">
      <c r="Q29">
        <v>22</v>
      </c>
      <c r="R29" s="39">
        <f t="shared" si="0"/>
        <v>53.5</v>
      </c>
      <c r="S29" s="37">
        <f t="shared" si="1"/>
        <v>0.88</v>
      </c>
      <c r="T29" s="37">
        <f t="shared" si="2"/>
        <v>15</v>
      </c>
      <c r="U29" s="40">
        <f t="shared" si="3"/>
        <v>3.4874074074074071</v>
      </c>
      <c r="V29" s="39">
        <f t="shared" si="4"/>
        <v>1</v>
      </c>
      <c r="W29" s="37">
        <f t="shared" si="5"/>
        <v>0.48838017977800857</v>
      </c>
      <c r="X29" s="40">
        <f t="shared" si="6"/>
        <v>1.0046677984004748E-2</v>
      </c>
      <c r="Y29" s="39">
        <f t="shared" si="7"/>
        <v>9.2496246170077381</v>
      </c>
      <c r="Z29" s="37">
        <f t="shared" si="28"/>
        <v>9.2496246170077381</v>
      </c>
      <c r="AA29" s="37">
        <f t="shared" si="29"/>
        <v>3.7701983466673172</v>
      </c>
      <c r="AB29" s="37">
        <v>0</v>
      </c>
      <c r="AC29" s="37">
        <f t="shared" si="8"/>
        <v>2.8428791146425943E-2</v>
      </c>
      <c r="AD29" s="40">
        <f t="shared" si="19"/>
        <v>2.8428791146425943E-2</v>
      </c>
      <c r="AE29" s="39">
        <f t="shared" si="27"/>
        <v>1.7031806565887881</v>
      </c>
      <c r="AF29" s="37">
        <f t="shared" si="20"/>
        <v>3.7320073956352955</v>
      </c>
      <c r="AG29" s="37">
        <f t="shared" si="9"/>
        <v>0</v>
      </c>
      <c r="AH29" s="37">
        <f t="shared" si="10"/>
        <v>7.1850509527379032</v>
      </c>
      <c r="AI29" s="40">
        <f t="shared" si="21"/>
        <v>7.1850509527379032</v>
      </c>
      <c r="AJ29" s="39">
        <f t="shared" si="22"/>
        <v>3.5036859221255073E-2</v>
      </c>
      <c r="AK29" s="37">
        <f t="shared" si="11"/>
        <v>0.53527224114130156</v>
      </c>
      <c r="AL29" s="37">
        <f t="shared" si="12"/>
        <v>0.51039999999999996</v>
      </c>
      <c r="AM29" s="37">
        <f t="shared" si="13"/>
        <v>1.1897599999999999</v>
      </c>
      <c r="AN29" s="40">
        <f t="shared" si="23"/>
        <v>1.7001599999999999</v>
      </c>
      <c r="AO29" s="39">
        <f t="shared" si="14"/>
        <v>2.0891818801614812E-2</v>
      </c>
      <c r="AP29" s="37">
        <f t="shared" si="15"/>
        <v>0.58509</v>
      </c>
      <c r="AQ29" s="40">
        <f t="shared" si="16"/>
        <v>6.7499999999999999E-3</v>
      </c>
      <c r="AR29" s="39">
        <f t="shared" si="24"/>
        <v>9.5263715626859433</v>
      </c>
      <c r="AS29" s="37">
        <f t="shared" si="25"/>
        <v>47.08</v>
      </c>
      <c r="AT29" s="40">
        <f t="shared" si="26"/>
        <v>83.170849323672982</v>
      </c>
    </row>
    <row r="30" spans="17:46" x14ac:dyDescent="0.25">
      <c r="Q30">
        <v>23</v>
      </c>
      <c r="R30" s="39">
        <f t="shared" si="0"/>
        <v>53.5</v>
      </c>
      <c r="S30" s="37">
        <f t="shared" si="1"/>
        <v>0.92</v>
      </c>
      <c r="T30" s="37">
        <f t="shared" si="2"/>
        <v>15</v>
      </c>
      <c r="U30" s="40">
        <f t="shared" si="3"/>
        <v>3.6459259259259258</v>
      </c>
      <c r="V30" s="39">
        <f t="shared" si="4"/>
        <v>1</v>
      </c>
      <c r="W30" s="37">
        <f t="shared" si="5"/>
        <v>0.49935638576071095</v>
      </c>
      <c r="X30" s="40">
        <f t="shared" si="6"/>
        <v>1.0272474221363197E-2</v>
      </c>
      <c r="Y30" s="39">
        <f t="shared" si="7"/>
        <v>9.4575073060740706</v>
      </c>
      <c r="Z30" s="37">
        <f t="shared" si="28"/>
        <v>9.4575073060740706</v>
      </c>
      <c r="AA30" s="37">
        <f t="shared" si="29"/>
        <v>3.8980110421406877</v>
      </c>
      <c r="AB30" s="37">
        <v>0</v>
      </c>
      <c r="AC30" s="37">
        <f t="shared" si="8"/>
        <v>3.0388980169301461E-2</v>
      </c>
      <c r="AD30" s="40">
        <f t="shared" si="19"/>
        <v>3.0388980169301461E-2</v>
      </c>
      <c r="AE30" s="39">
        <f t="shared" si="27"/>
        <v>1.8206163931216439</v>
      </c>
      <c r="AF30" s="37">
        <f t="shared" si="20"/>
        <v>3.8585253877680814</v>
      </c>
      <c r="AG30" s="37">
        <f t="shared" si="9"/>
        <v>0</v>
      </c>
      <c r="AH30" s="37">
        <f t="shared" si="10"/>
        <v>7.5116441778623537</v>
      </c>
      <c r="AI30" s="40">
        <f t="shared" si="21"/>
        <v>7.5116441778623537</v>
      </c>
      <c r="AJ30" s="39">
        <f t="shared" si="22"/>
        <v>3.7452680087073816E-2</v>
      </c>
      <c r="AK30" s="37">
        <f t="shared" si="11"/>
        <v>0.55341839199641951</v>
      </c>
      <c r="AL30" s="37">
        <f t="shared" si="12"/>
        <v>0.53359999999999996</v>
      </c>
      <c r="AM30" s="37">
        <f t="shared" si="13"/>
        <v>1.1897599999999999</v>
      </c>
      <c r="AN30" s="40">
        <f t="shared" si="23"/>
        <v>1.72336</v>
      </c>
      <c r="AO30" s="39">
        <f t="shared" si="14"/>
        <v>2.2332327252076234E-2</v>
      </c>
      <c r="AP30" s="37">
        <f t="shared" si="15"/>
        <v>0.58509</v>
      </c>
      <c r="AQ30" s="40">
        <f t="shared" si="16"/>
        <v>6.7499999999999999E-3</v>
      </c>
      <c r="AR30" s="39">
        <f t="shared" si="24"/>
        <v>9.8795654852837309</v>
      </c>
      <c r="AS30" s="37">
        <f t="shared" si="25"/>
        <v>49.22</v>
      </c>
      <c r="AT30" s="40">
        <f t="shared" si="26"/>
        <v>83.283184226212583</v>
      </c>
    </row>
    <row r="31" spans="17:46" x14ac:dyDescent="0.25">
      <c r="Q31">
        <v>24</v>
      </c>
      <c r="R31" s="39">
        <f t="shared" si="0"/>
        <v>53.5</v>
      </c>
      <c r="S31" s="37">
        <f t="shared" si="1"/>
        <v>0.96</v>
      </c>
      <c r="T31" s="37">
        <f t="shared" si="2"/>
        <v>15</v>
      </c>
      <c r="U31" s="40">
        <f t="shared" si="3"/>
        <v>3.8044444444444445</v>
      </c>
      <c r="V31" s="39">
        <f t="shared" si="4"/>
        <v>1</v>
      </c>
      <c r="W31" s="37">
        <f t="shared" si="5"/>
        <v>0.51009646146586829</v>
      </c>
      <c r="X31" s="40">
        <f t="shared" si="6"/>
        <v>1.0493412921583576E-2</v>
      </c>
      <c r="Y31" s="39">
        <f t="shared" si="7"/>
        <v>9.6609178307929593</v>
      </c>
      <c r="Z31" s="37">
        <f t="shared" si="28"/>
        <v>9.6609178307929593</v>
      </c>
      <c r="AA31" s="37">
        <f t="shared" si="29"/>
        <v>4.0244415047789417</v>
      </c>
      <c r="AB31" s="37">
        <v>0</v>
      </c>
      <c r="AC31" s="37">
        <f t="shared" si="8"/>
        <v>3.2392258850774791E-2</v>
      </c>
      <c r="AD31" s="40">
        <f t="shared" si="19"/>
        <v>3.2392258850774791E-2</v>
      </c>
      <c r="AE31" s="39">
        <f t="shared" si="27"/>
        <v>1.9406336489545923</v>
      </c>
      <c r="AF31" s="37">
        <f t="shared" si="20"/>
        <v>3.9836751486597444</v>
      </c>
      <c r="AG31" s="37">
        <f t="shared" si="9"/>
        <v>0</v>
      </c>
      <c r="AH31" s="37">
        <f t="shared" si="10"/>
        <v>7.8382374029868052</v>
      </c>
      <c r="AI31" s="40">
        <f t="shared" si="21"/>
        <v>7.8382374029868052</v>
      </c>
      <c r="AJ31" s="39">
        <f t="shared" si="22"/>
        <v>3.9921606492780183E-2</v>
      </c>
      <c r="AK31" s="37">
        <f t="shared" si="11"/>
        <v>0.57136830095670843</v>
      </c>
      <c r="AL31" s="37">
        <f t="shared" si="12"/>
        <v>0.55679999999999996</v>
      </c>
      <c r="AM31" s="37">
        <f t="shared" si="13"/>
        <v>1.1897599999999999</v>
      </c>
      <c r="AN31" s="40">
        <f t="shared" si="23"/>
        <v>1.7465599999999999</v>
      </c>
      <c r="AO31" s="39">
        <f t="shared" si="14"/>
        <v>2.3804501535073855E-2</v>
      </c>
      <c r="AP31" s="37">
        <f t="shared" si="15"/>
        <v>0.58509</v>
      </c>
      <c r="AQ31" s="40">
        <f t="shared" si="16"/>
        <v>6.7499999999999999E-3</v>
      </c>
      <c r="AR31" s="39">
        <f t="shared" si="24"/>
        <v>10.232834163372655</v>
      </c>
      <c r="AS31" s="37">
        <f t="shared" si="25"/>
        <v>51.36</v>
      </c>
      <c r="AT31" s="40">
        <f t="shared" si="26"/>
        <v>83.386323583957108</v>
      </c>
    </row>
    <row r="32" spans="17:46" x14ac:dyDescent="0.25">
      <c r="Q32">
        <v>25</v>
      </c>
      <c r="R32" s="39">
        <f t="shared" si="0"/>
        <v>53.5</v>
      </c>
      <c r="S32" s="37">
        <f t="shared" si="1"/>
        <v>1</v>
      </c>
      <c r="T32" s="37">
        <f t="shared" si="2"/>
        <v>15</v>
      </c>
      <c r="U32" s="40">
        <f t="shared" si="3"/>
        <v>3.9629629629629628</v>
      </c>
      <c r="V32" s="39">
        <f t="shared" si="4"/>
        <v>1</v>
      </c>
      <c r="W32" s="37">
        <f t="shared" si="5"/>
        <v>0.52061502091276624</v>
      </c>
      <c r="X32" s="40">
        <f t="shared" si="6"/>
        <v>1.0709794715919763E-2</v>
      </c>
      <c r="Y32" s="39">
        <f t="shared" si="7"/>
        <v>9.8601329718326944</v>
      </c>
      <c r="Z32" s="37">
        <f t="shared" si="28"/>
        <v>9.8601329718326944</v>
      </c>
      <c r="AA32" s="37">
        <f t="shared" si="29"/>
        <v>4.1495613943818759</v>
      </c>
      <c r="AB32" s="37">
        <v>0</v>
      </c>
      <c r="AC32" s="37">
        <f t="shared" si="8"/>
        <v>3.4437719531488914E-2</v>
      </c>
      <c r="AD32" s="40">
        <f t="shared" si="19"/>
        <v>3.4437719531488914E-2</v>
      </c>
      <c r="AE32" s="39">
        <f t="shared" si="27"/>
        <v>2.0631780458394808</v>
      </c>
      <c r="AF32" s="37">
        <f t="shared" si="20"/>
        <v>4.1075276122183215</v>
      </c>
      <c r="AG32" s="37">
        <f t="shared" si="9"/>
        <v>0</v>
      </c>
      <c r="AH32" s="37">
        <f t="shared" si="10"/>
        <v>8.1648306281112539</v>
      </c>
      <c r="AI32" s="40">
        <f t="shared" si="21"/>
        <v>8.1648306281112539</v>
      </c>
      <c r="AJ32" s="39">
        <f t="shared" si="22"/>
        <v>4.2442519800126463E-2</v>
      </c>
      <c r="AK32" s="37">
        <f t="shared" si="11"/>
        <v>0.58913214189051921</v>
      </c>
      <c r="AL32" s="37">
        <f t="shared" si="12"/>
        <v>0.57999999999999996</v>
      </c>
      <c r="AM32" s="37">
        <f t="shared" si="13"/>
        <v>1.1897599999999999</v>
      </c>
      <c r="AN32" s="40">
        <f t="shared" si="23"/>
        <v>1.7697599999999998</v>
      </c>
      <c r="AO32" s="39">
        <f t="shared" si="14"/>
        <v>2.5307674627703919E-2</v>
      </c>
      <c r="AP32" s="37">
        <f t="shared" si="15"/>
        <v>0.58509</v>
      </c>
      <c r="AQ32" s="40">
        <f t="shared" si="16"/>
        <v>6.7499999999999999E-3</v>
      </c>
      <c r="AR32" s="39">
        <f t="shared" si="24"/>
        <v>10.586176022270447</v>
      </c>
      <c r="AS32" s="37">
        <f t="shared" si="25"/>
        <v>53.5</v>
      </c>
      <c r="AT32" s="40">
        <f t="shared" si="26"/>
        <v>83.481342343485011</v>
      </c>
    </row>
    <row r="33" spans="17:46" x14ac:dyDescent="0.25">
      <c r="Q33">
        <v>26</v>
      </c>
      <c r="R33" s="39">
        <f t="shared" si="0"/>
        <v>53.5</v>
      </c>
      <c r="S33" s="37">
        <f t="shared" si="1"/>
        <v>1.04</v>
      </c>
      <c r="T33" s="37">
        <f t="shared" si="2"/>
        <v>15</v>
      </c>
      <c r="U33" s="40">
        <f t="shared" si="3"/>
        <v>4.1214814814814815</v>
      </c>
      <c r="V33" s="39">
        <f t="shared" si="4"/>
        <v>1</v>
      </c>
      <c r="W33" s="37">
        <f t="shared" si="5"/>
        <v>0.53092523014074222</v>
      </c>
      <c r="X33" s="40">
        <f t="shared" si="6"/>
        <v>1.0921890448609554E-2</v>
      </c>
      <c r="Y33" s="39">
        <f t="shared" si="7"/>
        <v>10.055402085998905</v>
      </c>
      <c r="Z33" s="37">
        <f t="shared" si="28"/>
        <v>10.055402085998905</v>
      </c>
      <c r="AA33" s="37">
        <f t="shared" si="29"/>
        <v>4.2734359483966209</v>
      </c>
      <c r="AB33" s="37">
        <v>0</v>
      </c>
      <c r="AC33" s="37">
        <f t="shared" si="8"/>
        <v>3.652450961009706E-2</v>
      </c>
      <c r="AD33" s="40">
        <f t="shared" si="19"/>
        <v>3.652450961009706E-2</v>
      </c>
      <c r="AE33" s="39">
        <f t="shared" si="27"/>
        <v>2.1881985040763627</v>
      </c>
      <c r="AF33" s="37">
        <f t="shared" si="20"/>
        <v>4.2301473550556459</v>
      </c>
      <c r="AG33" s="37">
        <f t="shared" si="9"/>
        <v>0</v>
      </c>
      <c r="AH33" s="37">
        <f t="shared" si="10"/>
        <v>8.4914238532357036</v>
      </c>
      <c r="AI33" s="40">
        <f t="shared" si="21"/>
        <v>8.4914238532357036</v>
      </c>
      <c r="AJ33" s="39">
        <f t="shared" si="22"/>
        <v>4.501436922671375E-2</v>
      </c>
      <c r="AK33" s="37">
        <f t="shared" si="11"/>
        <v>0.60671917685552679</v>
      </c>
      <c r="AL33" s="37">
        <f t="shared" si="12"/>
        <v>0.60319999999999996</v>
      </c>
      <c r="AM33" s="37">
        <f t="shared" si="13"/>
        <v>1.1897599999999999</v>
      </c>
      <c r="AN33" s="40">
        <f t="shared" si="23"/>
        <v>1.7929599999999999</v>
      </c>
      <c r="AO33" s="39">
        <f t="shared" si="14"/>
        <v>2.6841219968226415E-2</v>
      </c>
      <c r="AP33" s="37">
        <f t="shared" si="15"/>
        <v>0.58509</v>
      </c>
      <c r="AQ33" s="40">
        <f t="shared" si="16"/>
        <v>6.7499999999999999E-3</v>
      </c>
      <c r="AR33" s="39">
        <f t="shared" si="24"/>
        <v>10.939589582814026</v>
      </c>
      <c r="AS33" s="37">
        <f t="shared" si="25"/>
        <v>55.64</v>
      </c>
      <c r="AT33" s="40">
        <f t="shared" si="26"/>
        <v>83.569154373943718</v>
      </c>
    </row>
    <row r="34" spans="17:46" x14ac:dyDescent="0.25">
      <c r="Q34">
        <v>27</v>
      </c>
      <c r="R34" s="39">
        <f t="shared" si="0"/>
        <v>53.5</v>
      </c>
      <c r="S34" s="37">
        <f t="shared" si="1"/>
        <v>1.08</v>
      </c>
      <c r="T34" s="37">
        <f t="shared" si="2"/>
        <v>15</v>
      </c>
      <c r="U34" s="40">
        <f t="shared" si="3"/>
        <v>4.28</v>
      </c>
      <c r="V34" s="39">
        <f t="shared" si="4"/>
        <v>1</v>
      </c>
      <c r="W34" s="37">
        <f t="shared" si="5"/>
        <v>0.54103900044266684</v>
      </c>
      <c r="X34" s="40">
        <f t="shared" si="6"/>
        <v>1.1129945151963432E-2</v>
      </c>
      <c r="Y34" s="39">
        <f t="shared" si="7"/>
        <v>10.2469507659596</v>
      </c>
      <c r="Z34" s="37">
        <f t="shared" si="28"/>
        <v>10.2469507659596</v>
      </c>
      <c r="AA34" s="37">
        <f t="shared" si="29"/>
        <v>4.3961247816471349</v>
      </c>
      <c r="AB34" s="37">
        <v>0</v>
      </c>
      <c r="AC34" s="37">
        <f t="shared" si="8"/>
        <v>3.865182619162414E-2</v>
      </c>
      <c r="AD34" s="40">
        <f t="shared" si="19"/>
        <v>3.865182619162414E-2</v>
      </c>
      <c r="AE34" s="39">
        <f t="shared" si="27"/>
        <v>2.3156469218946141</v>
      </c>
      <c r="AF34" s="37">
        <f t="shared" si="20"/>
        <v>4.3515933881158224</v>
      </c>
      <c r="AG34" s="37">
        <f t="shared" si="9"/>
        <v>0</v>
      </c>
      <c r="AH34" s="37">
        <f t="shared" si="10"/>
        <v>8.8180170783601568</v>
      </c>
      <c r="AI34" s="40">
        <f t="shared" si="21"/>
        <v>8.8180170783601568</v>
      </c>
      <c r="AJ34" s="39">
        <f t="shared" si="22"/>
        <v>4.7636165250403491E-2</v>
      </c>
      <c r="AK34" s="37">
        <f t="shared" si="11"/>
        <v>0.62413786963996998</v>
      </c>
      <c r="AL34" s="37">
        <f t="shared" si="12"/>
        <v>0.62639999999999996</v>
      </c>
      <c r="AM34" s="37">
        <f t="shared" si="13"/>
        <v>1.1897599999999999</v>
      </c>
      <c r="AN34" s="40">
        <f t="shared" si="23"/>
        <v>1.81616</v>
      </c>
      <c r="AO34" s="39">
        <f t="shared" si="14"/>
        <v>2.8404547523240016E-2</v>
      </c>
      <c r="AP34" s="37">
        <f t="shared" si="15"/>
        <v>0.58509</v>
      </c>
      <c r="AQ34" s="40">
        <f t="shared" si="16"/>
        <v>6.7499999999999999E-3</v>
      </c>
      <c r="AR34" s="39">
        <f t="shared" si="24"/>
        <v>11.293073452075019</v>
      </c>
      <c r="AS34" s="37">
        <f t="shared" si="25"/>
        <v>57.78</v>
      </c>
      <c r="AT34" s="40">
        <f t="shared" si="26"/>
        <v>83.650541538577258</v>
      </c>
    </row>
    <row r="35" spans="17:46" x14ac:dyDescent="0.25">
      <c r="Q35">
        <v>28</v>
      </c>
      <c r="R35" s="39">
        <f t="shared" si="0"/>
        <v>53.5</v>
      </c>
      <c r="S35" s="37">
        <f t="shared" si="1"/>
        <v>1.1200000000000001</v>
      </c>
      <c r="T35" s="37">
        <f t="shared" si="2"/>
        <v>15</v>
      </c>
      <c r="U35" s="40">
        <f t="shared" si="3"/>
        <v>4.438518518518519</v>
      </c>
      <c r="V35" s="39">
        <f t="shared" si="4"/>
        <v>1</v>
      </c>
      <c r="W35" s="37">
        <f t="shared" si="5"/>
        <v>0.55096714965594817</v>
      </c>
      <c r="X35" s="40">
        <f t="shared" si="6"/>
        <v>1.1334181364350934E-2</v>
      </c>
      <c r="Y35" s="39">
        <f t="shared" si="7"/>
        <v>10.434983894999018</v>
      </c>
      <c r="Z35" s="37">
        <f t="shared" si="28"/>
        <v>10.434983894999018</v>
      </c>
      <c r="AA35" s="37">
        <f t="shared" si="29"/>
        <v>4.5176825606182822</v>
      </c>
      <c r="AB35" s="37">
        <v>0</v>
      </c>
      <c r="AC35" s="37">
        <f t="shared" si="8"/>
        <v>4.0818911437029114E-2</v>
      </c>
      <c r="AD35" s="40">
        <f t="shared" si="19"/>
        <v>4.0818911437029114E-2</v>
      </c>
      <c r="AE35" s="39">
        <f t="shared" si="27"/>
        <v>2.4454778968432902</v>
      </c>
      <c r="AF35" s="37">
        <f t="shared" si="20"/>
        <v>4.471919824129019</v>
      </c>
      <c r="AG35" s="37">
        <f t="shared" si="9"/>
        <v>0</v>
      </c>
      <c r="AH35" s="37">
        <f t="shared" si="10"/>
        <v>9.1446103034846065</v>
      </c>
      <c r="AI35" s="40">
        <f t="shared" si="21"/>
        <v>9.1446103034846065</v>
      </c>
      <c r="AJ35" s="39">
        <f t="shared" si="22"/>
        <v>5.030697387791911E-2</v>
      </c>
      <c r="AK35" s="37">
        <f t="shared" si="11"/>
        <v>0.64139598149383603</v>
      </c>
      <c r="AL35" s="37">
        <f t="shared" si="12"/>
        <v>0.64960000000000007</v>
      </c>
      <c r="AM35" s="37">
        <f t="shared" si="13"/>
        <v>1.1897599999999999</v>
      </c>
      <c r="AN35" s="40">
        <f t="shared" si="23"/>
        <v>1.8393600000000001</v>
      </c>
      <c r="AO35" s="39">
        <f t="shared" si="14"/>
        <v>2.9997100370157175E-2</v>
      </c>
      <c r="AP35" s="37">
        <f t="shared" si="15"/>
        <v>0.58509</v>
      </c>
      <c r="AQ35" s="40">
        <f t="shared" si="16"/>
        <v>6.7499999999999999E-3</v>
      </c>
      <c r="AR35" s="39">
        <f t="shared" si="24"/>
        <v>11.646626315291792</v>
      </c>
      <c r="AS35" s="37">
        <f t="shared" si="25"/>
        <v>59.920000000000009</v>
      </c>
      <c r="AT35" s="40">
        <f t="shared" si="26"/>
        <v>83.726176690260957</v>
      </c>
    </row>
    <row r="36" spans="17:46" x14ac:dyDescent="0.25">
      <c r="Q36">
        <v>29</v>
      </c>
      <c r="R36" s="39">
        <f t="shared" si="0"/>
        <v>53.5</v>
      </c>
      <c r="S36" s="37">
        <f t="shared" si="1"/>
        <v>1.1599999999999999</v>
      </c>
      <c r="T36" s="37">
        <f t="shared" si="2"/>
        <v>15</v>
      </c>
      <c r="U36" s="40">
        <f t="shared" si="3"/>
        <v>4.5970370370370368</v>
      </c>
      <c r="V36" s="39">
        <f t="shared" si="4"/>
        <v>1</v>
      </c>
      <c r="W36" s="37">
        <f t="shared" si="5"/>
        <v>0.56071953773700445</v>
      </c>
      <c r="X36" s="40">
        <f t="shared" si="6"/>
        <v>1.1534801919161234E-2</v>
      </c>
      <c r="Y36" s="39">
        <f t="shared" si="7"/>
        <v>10.619688214715993</v>
      </c>
      <c r="Z36" s="37">
        <f t="shared" si="28"/>
        <v>10.619688214715993</v>
      </c>
      <c r="AA36" s="37">
        <f t="shared" si="29"/>
        <v>4.6381595757409348</v>
      </c>
      <c r="AB36" s="37">
        <v>0</v>
      </c>
      <c r="AC36" s="37">
        <f t="shared" si="8"/>
        <v>4.3025048500074659E-2</v>
      </c>
      <c r="AD36" s="40">
        <f t="shared" si="19"/>
        <v>4.3025048500074659E-2</v>
      </c>
      <c r="AE36" s="39">
        <f t="shared" si="27"/>
        <v>2.5776484823672958</v>
      </c>
      <c r="AF36" s="37">
        <f t="shared" si="20"/>
        <v>4.5911764440994913</v>
      </c>
      <c r="AG36" s="37">
        <f t="shared" si="9"/>
        <v>0</v>
      </c>
      <c r="AH36" s="37">
        <f t="shared" si="10"/>
        <v>9.4712035286090543</v>
      </c>
      <c r="AI36" s="40">
        <f t="shared" si="21"/>
        <v>9.4712035286090543</v>
      </c>
      <c r="AJ36" s="39">
        <f t="shared" si="22"/>
        <v>5.3025911637270086E-2</v>
      </c>
      <c r="AK36" s="37">
        <f t="shared" si="11"/>
        <v>0.65850065237878341</v>
      </c>
      <c r="AL36" s="37">
        <f t="shared" si="12"/>
        <v>0.67279999999999995</v>
      </c>
      <c r="AM36" s="37">
        <f t="shared" si="13"/>
        <v>1.1897599999999999</v>
      </c>
      <c r="AN36" s="40">
        <f t="shared" si="23"/>
        <v>1.8625599999999998</v>
      </c>
      <c r="AO36" s="39">
        <f t="shared" si="14"/>
        <v>3.1618351711281079E-2</v>
      </c>
      <c r="AP36" s="37">
        <f t="shared" si="15"/>
        <v>0.58509</v>
      </c>
      <c r="AQ36" s="40">
        <f t="shared" si="16"/>
        <v>6.7499999999999999E-3</v>
      </c>
      <c r="AR36" s="39">
        <f t="shared" si="24"/>
        <v>12.00024692882041</v>
      </c>
      <c r="AS36" s="37">
        <f t="shared" si="25"/>
        <v>62.059999999999995</v>
      </c>
      <c r="AT36" s="40">
        <f t="shared" si="26"/>
        <v>83.79664202260372</v>
      </c>
    </row>
    <row r="37" spans="17:46" x14ac:dyDescent="0.25">
      <c r="Q37">
        <v>30</v>
      </c>
      <c r="R37" s="39">
        <f t="shared" si="0"/>
        <v>53.5</v>
      </c>
      <c r="S37" s="37">
        <f t="shared" si="1"/>
        <v>1.2</v>
      </c>
      <c r="T37" s="37">
        <f t="shared" si="2"/>
        <v>15</v>
      </c>
      <c r="U37" s="40">
        <f t="shared" si="3"/>
        <v>4.7555555555555555</v>
      </c>
      <c r="V37" s="39">
        <f t="shared" si="4"/>
        <v>1</v>
      </c>
      <c r="W37" s="37">
        <f t="shared" si="5"/>
        <v>0.57030518145989173</v>
      </c>
      <c r="X37" s="40">
        <f t="shared" si="6"/>
        <v>1.1731992304317772E-2</v>
      </c>
      <c r="Y37" s="39">
        <f t="shared" si="7"/>
        <v>10.801234497346433</v>
      </c>
      <c r="Z37" s="37">
        <f t="shared" si="28"/>
        <v>10.801234497346433</v>
      </c>
      <c r="AA37" s="37">
        <f t="shared" si="29"/>
        <v>4.7576022300859977</v>
      </c>
      <c r="AB37" s="37">
        <v>0</v>
      </c>
      <c r="AC37" s="37">
        <f t="shared" si="8"/>
        <v>4.5269557959438517E-2</v>
      </c>
      <c r="AD37" s="40">
        <f t="shared" si="19"/>
        <v>4.5269557959438517E-2</v>
      </c>
      <c r="AE37" s="39">
        <f t="shared" si="27"/>
        <v>2.7121179740537071</v>
      </c>
      <c r="AF37" s="37">
        <f t="shared" si="20"/>
        <v>4.7094091810492902</v>
      </c>
      <c r="AG37" s="37">
        <f t="shared" si="9"/>
        <v>0</v>
      </c>
      <c r="AH37" s="37">
        <f t="shared" si="10"/>
        <v>9.797796753733504</v>
      </c>
      <c r="AI37" s="40">
        <f t="shared" si="21"/>
        <v>9.797796753733504</v>
      </c>
      <c r="AJ37" s="39">
        <f t="shared" si="22"/>
        <v>5.5792141180533404E-2</v>
      </c>
      <c r="AK37" s="37">
        <f t="shared" si="11"/>
        <v>0.67545847035026019</v>
      </c>
      <c r="AL37" s="37">
        <f t="shared" si="12"/>
        <v>0.69599999999999995</v>
      </c>
      <c r="AM37" s="37">
        <f t="shared" si="13"/>
        <v>1.1897599999999999</v>
      </c>
      <c r="AN37" s="40">
        <f t="shared" si="23"/>
        <v>1.8857599999999999</v>
      </c>
      <c r="AO37" s="39">
        <f t="shared" si="14"/>
        <v>3.3267802251827017E-2</v>
      </c>
      <c r="AP37" s="37">
        <f t="shared" si="15"/>
        <v>0.58509</v>
      </c>
      <c r="AQ37" s="40">
        <f t="shared" si="16"/>
        <v>6.7499999999999999E-3</v>
      </c>
      <c r="AR37" s="39">
        <f t="shared" si="24"/>
        <v>12.353934113944769</v>
      </c>
      <c r="AS37" s="37">
        <f t="shared" si="25"/>
        <v>64.2</v>
      </c>
      <c r="AT37" s="40">
        <f t="shared" si="26"/>
        <v>83.862443835274519</v>
      </c>
    </row>
    <row r="38" spans="17:46" x14ac:dyDescent="0.25">
      <c r="Q38">
        <v>31</v>
      </c>
      <c r="R38" s="39">
        <f t="shared" si="0"/>
        <v>53.5</v>
      </c>
      <c r="S38" s="37">
        <f t="shared" si="1"/>
        <v>1.24</v>
      </c>
      <c r="T38" s="37">
        <f t="shared" si="2"/>
        <v>15</v>
      </c>
      <c r="U38" s="40">
        <f t="shared" si="3"/>
        <v>4.9140740740740743</v>
      </c>
      <c r="V38" s="39">
        <f t="shared" si="4"/>
        <v>1</v>
      </c>
      <c r="W38" s="37">
        <f t="shared" si="5"/>
        <v>0.57973235203842122</v>
      </c>
      <c r="X38" s="40">
        <f t="shared" si="6"/>
        <v>1.1925922670504664E-2</v>
      </c>
      <c r="Y38" s="39">
        <f t="shared" si="7"/>
        <v>10.979779394667068</v>
      </c>
      <c r="Z38" s="37">
        <f t="shared" si="28"/>
        <v>10.979779394667068</v>
      </c>
      <c r="AA38" s="37">
        <f t="shared" si="29"/>
        <v>4.8760534590512181</v>
      </c>
      <c r="AB38" s="37">
        <v>0</v>
      </c>
      <c r="AC38" s="37">
        <f t="shared" si="8"/>
        <v>4.7551794671050703E-2</v>
      </c>
      <c r="AD38" s="40">
        <f t="shared" si="19"/>
        <v>4.7551794671050703E-2</v>
      </c>
      <c r="AE38" s="39">
        <f t="shared" si="27"/>
        <v>2.84884772105399</v>
      </c>
      <c r="AF38" s="37">
        <f t="shared" si="20"/>
        <v>4.826660535453775</v>
      </c>
      <c r="AG38" s="37">
        <f t="shared" si="9"/>
        <v>0</v>
      </c>
      <c r="AH38" s="37">
        <f t="shared" si="10"/>
        <v>10.124389978857957</v>
      </c>
      <c r="AI38" s="40">
        <f t="shared" si="21"/>
        <v>10.124389978857957</v>
      </c>
      <c r="AJ38" s="39">
        <f t="shared" si="22"/>
        <v>5.860486740453922E-2</v>
      </c>
      <c r="AK38" s="37">
        <f t="shared" si="11"/>
        <v>0.69227553114235385</v>
      </c>
      <c r="AL38" s="37">
        <f t="shared" si="12"/>
        <v>0.71919999999999995</v>
      </c>
      <c r="AM38" s="37">
        <f t="shared" si="13"/>
        <v>1.1897599999999999</v>
      </c>
      <c r="AN38" s="40">
        <f t="shared" si="23"/>
        <v>1.90896</v>
      </c>
      <c r="AO38" s="39">
        <f t="shared" si="14"/>
        <v>3.4944977886760382E-2</v>
      </c>
      <c r="AP38" s="37">
        <f t="shared" si="15"/>
        <v>0.58509</v>
      </c>
      <c r="AQ38" s="40">
        <f t="shared" si="16"/>
        <v>6.7499999999999999E-3</v>
      </c>
      <c r="AR38" s="39">
        <f t="shared" si="24"/>
        <v>12.707686751415768</v>
      </c>
      <c r="AS38" s="37">
        <f t="shared" si="25"/>
        <v>66.34</v>
      </c>
      <c r="AT38" s="40">
        <f t="shared" si="26"/>
        <v>83.924024505134341</v>
      </c>
    </row>
    <row r="39" spans="17:46" x14ac:dyDescent="0.25">
      <c r="Q39">
        <v>32</v>
      </c>
      <c r="R39" s="39">
        <f t="shared" si="0"/>
        <v>53.5</v>
      </c>
      <c r="S39" s="37">
        <f t="shared" ref="S39:S70" si="30">Q39*$O$12</f>
        <v>1.28</v>
      </c>
      <c r="T39" s="37">
        <f t="shared" si="2"/>
        <v>15</v>
      </c>
      <c r="U39" s="40">
        <f t="shared" ref="U39:U70" si="31">(R39*S39)/(T39*EFF_est)</f>
        <v>5.072592592592593</v>
      </c>
      <c r="V39" s="39">
        <f t="shared" ref="V39:V70" si="32">IF((S39*R39/T39)&lt;((T39*(1-(T39/R39)))/(2*Lm*Fsw)),1,2)</f>
        <v>1</v>
      </c>
      <c r="W39" s="37">
        <f t="shared" ref="W39:W70" si="33">CHOOSE(V39,SQRT((2*S39*Lm*Fsw*(R39-T39))/((T39)^2)),1-(T39/R39))</f>
        <v>0.58900865867998919</v>
      </c>
      <c r="X39" s="40">
        <f t="shared" ref="X39:X70" si="34">CHOOSE(V39,(Lm*W39*Fsw)/(R39-T39),1-W39)</f>
        <v>1.211674954998835E-2</v>
      </c>
      <c r="Y39" s="39">
        <f t="shared" ref="Y39:Y70" si="35">(T39*W39)/(Lm*Fsw)</f>
        <v>11.15546702045434</v>
      </c>
      <c r="Z39" s="37">
        <f t="shared" si="28"/>
        <v>11.15546702045434</v>
      </c>
      <c r="AA39" s="37">
        <f t="shared" si="29"/>
        <v>4.993553092692598</v>
      </c>
      <c r="AB39" s="37">
        <v>0</v>
      </c>
      <c r="AC39" s="37">
        <f t="shared" ref="AC39:AC70" si="36">(AA39^2)*Rdcr</f>
        <v>4.9871144979079615E-2</v>
      </c>
      <c r="AD39" s="40">
        <f t="shared" si="19"/>
        <v>4.9871144979079615E-2</v>
      </c>
      <c r="AE39" s="39">
        <f t="shared" si="27"/>
        <v>2.9878009589930121</v>
      </c>
      <c r="AF39" s="37">
        <f t="shared" si="20"/>
        <v>4.9429699339027158</v>
      </c>
      <c r="AG39" s="37">
        <f t="shared" ref="AG39:AG70" si="37">(AF39^2)*RDS_on</f>
        <v>0</v>
      </c>
      <c r="AH39" s="37">
        <f t="shared" ref="AH39:AH70" si="38">((R39*U39)/2)*Fsw*(tr_sw+tf_sw)</f>
        <v>10.450983203982407</v>
      </c>
      <c r="AI39" s="40">
        <f t="shared" si="21"/>
        <v>10.450983203982407</v>
      </c>
      <c r="AJ39" s="39">
        <f t="shared" si="22"/>
        <v>6.1463334013570535E-2</v>
      </c>
      <c r="AK39" s="37">
        <f t="shared" ref="AK39:AK70" si="39">CHOOSE(V39,Z39*SQRT(X39/3),SQRT(X39*((Z39^2)+((Y39^2)/3)-(Y39*Z39))))</f>
        <v>0.70895748960963145</v>
      </c>
      <c r="AL39" s="37">
        <f t="shared" ref="AL39:AL70" si="40">S39*Vd_rect</f>
        <v>0.74239999999999995</v>
      </c>
      <c r="AM39" s="37">
        <f t="shared" ref="AM39:AM70" si="41">CHOOSE(V39,(R39+Vd_rect)*Qrr*Fsw,(R39+Vd_rect)*Qrr*Fsw)</f>
        <v>1.1897599999999999</v>
      </c>
      <c r="AN39" s="40">
        <f t="shared" si="23"/>
        <v>1.9321599999999999</v>
      </c>
      <c r="AO39" s="39">
        <f t="shared" ref="AO39:AO70" si="42">(AF39^2)*R_cs</f>
        <v>3.6649427651199329E-2</v>
      </c>
      <c r="AP39" s="37">
        <f t="shared" ref="AP39:AP70" si="43">Qg_tot*Vcc*Fsw</f>
        <v>0.58509</v>
      </c>
      <c r="AQ39" s="40">
        <f t="shared" ref="AQ39:AQ70" si="44">IQ*T39</f>
        <v>6.7499999999999999E-3</v>
      </c>
      <c r="AR39" s="39">
        <f t="shared" si="24"/>
        <v>13.061503776612684</v>
      </c>
      <c r="AS39" s="37">
        <f t="shared" si="25"/>
        <v>68.48</v>
      </c>
      <c r="AT39" s="40">
        <f t="shared" si="26"/>
        <v>83.981772261159946</v>
      </c>
    </row>
    <row r="40" spans="17:46" x14ac:dyDescent="0.25">
      <c r="Q40">
        <v>33</v>
      </c>
      <c r="R40" s="39">
        <f t="shared" si="0"/>
        <v>53.5</v>
      </c>
      <c r="S40" s="37">
        <f t="shared" si="30"/>
        <v>1.32</v>
      </c>
      <c r="T40" s="37">
        <f t="shared" si="2"/>
        <v>15</v>
      </c>
      <c r="U40" s="40">
        <f t="shared" si="31"/>
        <v>5.2311111111111117</v>
      </c>
      <c r="V40" s="39">
        <f t="shared" si="32"/>
        <v>1</v>
      </c>
      <c r="W40" s="37">
        <f t="shared" si="33"/>
        <v>0.5981411204724183</v>
      </c>
      <c r="X40" s="40">
        <f t="shared" si="34"/>
        <v>1.2304617335432606E-2</v>
      </c>
      <c r="Y40" s="39">
        <f t="shared" si="35"/>
        <v>11.32843031197762</v>
      </c>
      <c r="Z40" s="37">
        <f t="shared" si="28"/>
        <v>11.32843031197762</v>
      </c>
      <c r="AA40" s="37">
        <f t="shared" si="29"/>
        <v>5.1101381700826689</v>
      </c>
      <c r="AB40" s="37">
        <v>0</v>
      </c>
      <c r="AC40" s="37">
        <f t="shared" si="36"/>
        <v>5.2227024234671696E-2</v>
      </c>
      <c r="AD40" s="40">
        <f t="shared" si="19"/>
        <v>5.2227024234671696E-2</v>
      </c>
      <c r="AE40" s="39">
        <f t="shared" si="27"/>
        <v>3.1289426613157172</v>
      </c>
      <c r="AF40" s="37">
        <f t="shared" si="20"/>
        <v>5.0583740402742183</v>
      </c>
      <c r="AG40" s="37">
        <f t="shared" si="37"/>
        <v>0</v>
      </c>
      <c r="AH40" s="37">
        <f t="shared" si="38"/>
        <v>10.777576429106857</v>
      </c>
      <c r="AI40" s="40">
        <f t="shared" si="21"/>
        <v>10.777576429106857</v>
      </c>
      <c r="AJ40" s="39">
        <f t="shared" si="22"/>
        <v>6.4366820461351906E-2</v>
      </c>
      <c r="AK40" s="37">
        <f t="shared" si="39"/>
        <v>0.72550960435801826</v>
      </c>
      <c r="AL40" s="37">
        <f t="shared" si="40"/>
        <v>0.76559999999999995</v>
      </c>
      <c r="AM40" s="37">
        <f t="shared" si="41"/>
        <v>1.1897599999999999</v>
      </c>
      <c r="AN40" s="40">
        <f t="shared" si="23"/>
        <v>1.9553599999999998</v>
      </c>
      <c r="AO40" s="39">
        <f t="shared" si="42"/>
        <v>3.8380721896980177E-2</v>
      </c>
      <c r="AP40" s="37">
        <f t="shared" si="43"/>
        <v>0.58509</v>
      </c>
      <c r="AQ40" s="40">
        <f t="shared" si="44"/>
        <v>6.7499999999999999E-3</v>
      </c>
      <c r="AR40" s="39">
        <f t="shared" si="24"/>
        <v>13.415384175238508</v>
      </c>
      <c r="AS40" s="37">
        <f t="shared" si="25"/>
        <v>70.62</v>
      </c>
      <c r="AT40" s="40">
        <f t="shared" si="26"/>
        <v>84.036029219235218</v>
      </c>
    </row>
    <row r="41" spans="17:46" x14ac:dyDescent="0.25">
      <c r="Q41">
        <v>34</v>
      </c>
      <c r="R41" s="39">
        <f t="shared" si="0"/>
        <v>53.5</v>
      </c>
      <c r="S41" s="37">
        <f t="shared" si="30"/>
        <v>1.36</v>
      </c>
      <c r="T41" s="37">
        <f t="shared" si="2"/>
        <v>15</v>
      </c>
      <c r="U41" s="40">
        <f t="shared" si="31"/>
        <v>5.3896296296296304</v>
      </c>
      <c r="V41" s="39">
        <f t="shared" si="32"/>
        <v>1</v>
      </c>
      <c r="W41" s="37">
        <f t="shared" si="33"/>
        <v>0.60713622853524396</v>
      </c>
      <c r="X41" s="40">
        <f t="shared" si="34"/>
        <v>1.2489659558439304E-2</v>
      </c>
      <c r="Y41" s="39">
        <f t="shared" si="35"/>
        <v>11.498792207106892</v>
      </c>
      <c r="Z41" s="37">
        <f t="shared" si="28"/>
        <v>11.498792207106892</v>
      </c>
      <c r="AA41" s="37">
        <f t="shared" si="29"/>
        <v>5.2258432133058603</v>
      </c>
      <c r="AB41" s="37">
        <v>0</v>
      </c>
      <c r="AC41" s="37">
        <f t="shared" si="36"/>
        <v>5.461887458010984E-2</v>
      </c>
      <c r="AD41" s="40">
        <f t="shared" si="19"/>
        <v>5.461887458010984E-2</v>
      </c>
      <c r="AE41" s="39">
        <f t="shared" si="27"/>
        <v>3.2722394065351375</v>
      </c>
      <c r="AF41" s="37">
        <f t="shared" si="20"/>
        <v>5.1729070269546025</v>
      </c>
      <c r="AG41" s="37">
        <f t="shared" si="37"/>
        <v>0</v>
      </c>
      <c r="AH41" s="37">
        <f t="shared" si="38"/>
        <v>11.104169654231308</v>
      </c>
      <c r="AI41" s="40">
        <f t="shared" si="21"/>
        <v>11.104169654231308</v>
      </c>
      <c r="AJ41" s="39">
        <f t="shared" si="22"/>
        <v>6.7314639220151393E-2</v>
      </c>
      <c r="AK41" s="37">
        <f t="shared" si="39"/>
        <v>0.74193677664516744</v>
      </c>
      <c r="AL41" s="37">
        <f t="shared" si="40"/>
        <v>0.78880000000000006</v>
      </c>
      <c r="AM41" s="37">
        <f t="shared" si="41"/>
        <v>1.1897599999999999</v>
      </c>
      <c r="AN41" s="40">
        <f t="shared" si="23"/>
        <v>1.9785599999999999</v>
      </c>
      <c r="AO41" s="39">
        <f t="shared" si="42"/>
        <v>4.0138450664274461E-2</v>
      </c>
      <c r="AP41" s="37">
        <f t="shared" si="43"/>
        <v>0.58509</v>
      </c>
      <c r="AQ41" s="40">
        <f t="shared" si="44"/>
        <v>6.7499999999999999E-3</v>
      </c>
      <c r="AR41" s="39">
        <f t="shared" si="24"/>
        <v>13.769326979475691</v>
      </c>
      <c r="AS41" s="37">
        <f t="shared" si="25"/>
        <v>72.760000000000005</v>
      </c>
      <c r="AT41" s="40">
        <f t="shared" si="26"/>
        <v>84.08709802776842</v>
      </c>
    </row>
    <row r="42" spans="17:46" x14ac:dyDescent="0.25">
      <c r="Q42">
        <v>35</v>
      </c>
      <c r="R42" s="39">
        <f t="shared" si="0"/>
        <v>53.5</v>
      </c>
      <c r="S42" s="37">
        <f t="shared" si="30"/>
        <v>1.4000000000000001</v>
      </c>
      <c r="T42" s="37">
        <f t="shared" si="2"/>
        <v>15</v>
      </c>
      <c r="U42" s="40">
        <f t="shared" si="31"/>
        <v>5.5481481481481483</v>
      </c>
      <c r="V42" s="39">
        <f t="shared" si="32"/>
        <v>1</v>
      </c>
      <c r="W42" s="37">
        <f t="shared" si="33"/>
        <v>0.6160000000000001</v>
      </c>
      <c r="X42" s="40">
        <f t="shared" si="34"/>
        <v>1.2672000000000001E-2</v>
      </c>
      <c r="Y42" s="39">
        <f t="shared" si="35"/>
        <v>11.666666666666668</v>
      </c>
      <c r="Z42" s="37">
        <f t="shared" si="28"/>
        <v>11.666666666666668</v>
      </c>
      <c r="AA42" s="37">
        <f t="shared" si="29"/>
        <v>5.3407004673059033</v>
      </c>
      <c r="AB42" s="37">
        <v>0</v>
      </c>
      <c r="AC42" s="37">
        <f t="shared" si="36"/>
        <v>5.7046162962962992E-2</v>
      </c>
      <c r="AD42" s="40">
        <f t="shared" si="19"/>
        <v>5.7046162962962992E-2</v>
      </c>
      <c r="AE42" s="39">
        <f t="shared" si="27"/>
        <v>3.4176592592592598</v>
      </c>
      <c r="AF42" s="37">
        <f t="shared" si="20"/>
        <v>5.2866008122562231</v>
      </c>
      <c r="AG42" s="37">
        <f t="shared" si="37"/>
        <v>0</v>
      </c>
      <c r="AH42" s="37">
        <f t="shared" si="38"/>
        <v>11.430762879355758</v>
      </c>
      <c r="AI42" s="40">
        <f t="shared" si="21"/>
        <v>11.430762879355758</v>
      </c>
      <c r="AJ42" s="39">
        <f t="shared" si="22"/>
        <v>7.030613333333334E-2</v>
      </c>
      <c r="AK42" s="37">
        <f t="shared" si="39"/>
        <v>0.75824358443268969</v>
      </c>
      <c r="AL42" s="37">
        <f t="shared" si="40"/>
        <v>0.81200000000000006</v>
      </c>
      <c r="AM42" s="37">
        <f t="shared" si="41"/>
        <v>1.1897599999999999</v>
      </c>
      <c r="AN42" s="40">
        <f t="shared" si="23"/>
        <v>2.00176</v>
      </c>
      <c r="AO42" s="39">
        <f t="shared" si="42"/>
        <v>4.1922222222222236E-2</v>
      </c>
      <c r="AP42" s="37">
        <f t="shared" si="43"/>
        <v>0.58509</v>
      </c>
      <c r="AQ42" s="40">
        <f t="shared" si="44"/>
        <v>6.7499999999999999E-3</v>
      </c>
      <c r="AR42" s="39">
        <f t="shared" si="24"/>
        <v>14.123331264540944</v>
      </c>
      <c r="AS42" s="37">
        <f t="shared" si="25"/>
        <v>74.900000000000006</v>
      </c>
      <c r="AT42" s="40">
        <f t="shared" si="26"/>
        <v>84.135247396469381</v>
      </c>
    </row>
    <row r="43" spans="17:46" x14ac:dyDescent="0.25">
      <c r="Q43">
        <v>36</v>
      </c>
      <c r="R43" s="39">
        <f t="shared" si="0"/>
        <v>53.5</v>
      </c>
      <c r="S43" s="37">
        <f t="shared" si="30"/>
        <v>1.44</v>
      </c>
      <c r="T43" s="37">
        <f t="shared" si="2"/>
        <v>15</v>
      </c>
      <c r="U43" s="40">
        <f t="shared" si="31"/>
        <v>5.7066666666666661</v>
      </c>
      <c r="V43" s="39">
        <f t="shared" si="32"/>
        <v>1</v>
      </c>
      <c r="W43" s="37">
        <f t="shared" si="33"/>
        <v>0.62473802509531939</v>
      </c>
      <c r="X43" s="40">
        <f t="shared" si="34"/>
        <v>1.2851753659103713E-2</v>
      </c>
      <c r="Y43" s="39">
        <f t="shared" si="35"/>
        <v>11.832159566199232</v>
      </c>
      <c r="Z43" s="37">
        <f t="shared" si="28"/>
        <v>11.832159566199232</v>
      </c>
      <c r="AA43" s="37">
        <f t="shared" si="29"/>
        <v>5.4547401106933053</v>
      </c>
      <c r="AB43" s="37">
        <v>0</v>
      </c>
      <c r="AC43" s="37">
        <f t="shared" si="36"/>
        <v>5.9508379350412824E-2</v>
      </c>
      <c r="AD43" s="40">
        <f t="shared" si="19"/>
        <v>5.9508379350412824E-2</v>
      </c>
      <c r="AE43" s="39">
        <f t="shared" si="27"/>
        <v>3.5651716632106223</v>
      </c>
      <c r="AF43" s="37">
        <f t="shared" si="20"/>
        <v>5.3994852690895367</v>
      </c>
      <c r="AG43" s="37">
        <f t="shared" si="37"/>
        <v>0</v>
      </c>
      <c r="AH43" s="37">
        <f t="shared" si="38"/>
        <v>11.757356104480204</v>
      </c>
      <c r="AI43" s="40">
        <f t="shared" si="21"/>
        <v>11.757356104480204</v>
      </c>
      <c r="AJ43" s="39">
        <f t="shared" si="22"/>
        <v>7.3340674214618512E-2</v>
      </c>
      <c r="AK43" s="37">
        <f t="shared" si="39"/>
        <v>0.77443431231545179</v>
      </c>
      <c r="AL43" s="37">
        <f t="shared" si="40"/>
        <v>0.83519999999999994</v>
      </c>
      <c r="AM43" s="37">
        <f t="shared" si="41"/>
        <v>1.1897599999999999</v>
      </c>
      <c r="AN43" s="40">
        <f t="shared" si="23"/>
        <v>2.0249600000000001</v>
      </c>
      <c r="AO43" s="39">
        <f t="shared" si="42"/>
        <v>4.3731661756672362E-2</v>
      </c>
      <c r="AP43" s="37">
        <f t="shared" si="43"/>
        <v>0.58509</v>
      </c>
      <c r="AQ43" s="40">
        <f t="shared" si="44"/>
        <v>6.7499999999999999E-3</v>
      </c>
      <c r="AR43" s="39">
        <f t="shared" si="24"/>
        <v>14.477396145587289</v>
      </c>
      <c r="AS43" s="37">
        <f t="shared" si="25"/>
        <v>77.039999999999992</v>
      </c>
      <c r="AT43" s="40">
        <f t="shared" si="26"/>
        <v>84.180716721270755</v>
      </c>
    </row>
    <row r="44" spans="17:46" x14ac:dyDescent="0.25">
      <c r="Q44">
        <v>37</v>
      </c>
      <c r="R44" s="39">
        <f t="shared" si="0"/>
        <v>53.5</v>
      </c>
      <c r="S44" s="37">
        <f t="shared" si="30"/>
        <v>1.48</v>
      </c>
      <c r="T44" s="37">
        <f t="shared" si="2"/>
        <v>15</v>
      </c>
      <c r="U44" s="40">
        <f t="shared" si="31"/>
        <v>5.8651851851851848</v>
      </c>
      <c r="V44" s="39">
        <f t="shared" si="32"/>
        <v>1</v>
      </c>
      <c r="W44" s="37">
        <f t="shared" si="33"/>
        <v>0.63335550838371968</v>
      </c>
      <c r="X44" s="40">
        <f t="shared" si="34"/>
        <v>1.3029027601036519E-2</v>
      </c>
      <c r="Y44" s="39">
        <f t="shared" si="35"/>
        <v>11.995369476964388</v>
      </c>
      <c r="Z44" s="37">
        <f t="shared" si="28"/>
        <v>11.995369476964388</v>
      </c>
      <c r="AA44" s="37">
        <f t="shared" si="29"/>
        <v>5.5679904417364856</v>
      </c>
      <c r="AB44" s="37">
        <v>0</v>
      </c>
      <c r="AC44" s="37">
        <f t="shared" si="36"/>
        <v>6.2005035118537728E-2</v>
      </c>
      <c r="AD44" s="40">
        <f t="shared" si="19"/>
        <v>6.2005035118537728E-2</v>
      </c>
      <c r="AE44" s="39">
        <f t="shared" si="27"/>
        <v>3.7147473447276238</v>
      </c>
      <c r="AF44" s="37">
        <f t="shared" si="20"/>
        <v>5.5115884090701952</v>
      </c>
      <c r="AG44" s="37">
        <f t="shared" si="37"/>
        <v>0</v>
      </c>
      <c r="AH44" s="37">
        <f t="shared" si="38"/>
        <v>12.083949329604655</v>
      </c>
      <c r="AI44" s="40">
        <f t="shared" si="21"/>
        <v>12.083949329604655</v>
      </c>
      <c r="AJ44" s="39">
        <f t="shared" si="22"/>
        <v>7.6417659662968263E-2</v>
      </c>
      <c r="AK44" s="37">
        <f t="shared" si="39"/>
        <v>0.7905129779275839</v>
      </c>
      <c r="AL44" s="37">
        <f t="shared" si="40"/>
        <v>0.85839999999999994</v>
      </c>
      <c r="AM44" s="37">
        <f t="shared" si="41"/>
        <v>1.1897599999999999</v>
      </c>
      <c r="AN44" s="40">
        <f t="shared" si="23"/>
        <v>2.0481599999999998</v>
      </c>
      <c r="AO44" s="39">
        <f t="shared" si="42"/>
        <v>4.556641018649539E-2</v>
      </c>
      <c r="AP44" s="37">
        <f t="shared" si="43"/>
        <v>0.58509</v>
      </c>
      <c r="AQ44" s="40">
        <f t="shared" si="44"/>
        <v>6.7499999999999999E-3</v>
      </c>
      <c r="AR44" s="39">
        <f t="shared" si="24"/>
        <v>14.831520774909688</v>
      </c>
      <c r="AS44" s="37">
        <f t="shared" si="25"/>
        <v>79.179999999999993</v>
      </c>
      <c r="AT44" s="40">
        <f t="shared" si="26"/>
        <v>84.223719973192885</v>
      </c>
    </row>
    <row r="45" spans="17:46" x14ac:dyDescent="0.25">
      <c r="Q45">
        <v>38</v>
      </c>
      <c r="R45" s="39">
        <f t="shared" si="0"/>
        <v>53.5</v>
      </c>
      <c r="S45" s="37">
        <f t="shared" si="30"/>
        <v>1.52</v>
      </c>
      <c r="T45" s="37">
        <f t="shared" si="2"/>
        <v>15</v>
      </c>
      <c r="U45" s="40">
        <f t="shared" si="31"/>
        <v>6.0237037037037044</v>
      </c>
      <c r="V45" s="39">
        <f t="shared" si="32"/>
        <v>1</v>
      </c>
      <c r="W45" s="37">
        <f t="shared" si="33"/>
        <v>0.64185730501412852</v>
      </c>
      <c r="X45" s="40">
        <f t="shared" si="34"/>
        <v>1.3203921703147785E-2</v>
      </c>
      <c r="Y45" s="39">
        <f t="shared" si="35"/>
        <v>12.156388352540313</v>
      </c>
      <c r="Z45" s="37">
        <f t="shared" si="28"/>
        <v>12.156388352540313</v>
      </c>
      <c r="AA45" s="37">
        <f t="shared" si="29"/>
        <v>5.6804780430483772</v>
      </c>
      <c r="AB45" s="37">
        <v>0</v>
      </c>
      <c r="AC45" s="37">
        <f t="shared" si="36"/>
        <v>6.4535661595109442E-2</v>
      </c>
      <c r="AD45" s="40">
        <f t="shared" si="19"/>
        <v>6.4535661595109442E-2</v>
      </c>
      <c r="AE45" s="39">
        <f t="shared" si="27"/>
        <v>3.8663582254628843</v>
      </c>
      <c r="AF45" s="37">
        <f t="shared" si="20"/>
        <v>5.6229365455374296</v>
      </c>
      <c r="AG45" s="37">
        <f t="shared" si="37"/>
        <v>0</v>
      </c>
      <c r="AH45" s="37">
        <f t="shared" si="38"/>
        <v>12.41054255472911</v>
      </c>
      <c r="AI45" s="40">
        <f t="shared" si="21"/>
        <v>12.41054255472911</v>
      </c>
      <c r="AJ45" s="39">
        <f t="shared" si="22"/>
        <v>7.9536512066665038E-2</v>
      </c>
      <c r="AK45" s="37">
        <f t="shared" si="39"/>
        <v>0.80648335532378901</v>
      </c>
      <c r="AL45" s="37">
        <f t="shared" si="40"/>
        <v>0.88159999999999994</v>
      </c>
      <c r="AM45" s="37">
        <f t="shared" si="41"/>
        <v>1.1897599999999999</v>
      </c>
      <c r="AN45" s="40">
        <f t="shared" si="23"/>
        <v>2.0713599999999999</v>
      </c>
      <c r="AO45" s="39">
        <f t="shared" si="42"/>
        <v>4.7426123092710604E-2</v>
      </c>
      <c r="AP45" s="37">
        <f t="shared" si="43"/>
        <v>0.58509</v>
      </c>
      <c r="AQ45" s="40">
        <f t="shared" si="44"/>
        <v>6.7499999999999999E-3</v>
      </c>
      <c r="AR45" s="39">
        <f t="shared" si="24"/>
        <v>15.185704339416928</v>
      </c>
      <c r="AS45" s="37">
        <f t="shared" si="25"/>
        <v>81.320000000000007</v>
      </c>
      <c r="AT45" s="40">
        <f t="shared" si="26"/>
        <v>84.264448984271638</v>
      </c>
    </row>
    <row r="46" spans="17:46" x14ac:dyDescent="0.25">
      <c r="Q46">
        <v>39</v>
      </c>
      <c r="R46" s="39">
        <f t="shared" si="0"/>
        <v>53.5</v>
      </c>
      <c r="S46" s="37">
        <f t="shared" si="30"/>
        <v>1.56</v>
      </c>
      <c r="T46" s="37">
        <f t="shared" si="2"/>
        <v>15</v>
      </c>
      <c r="U46" s="40">
        <f t="shared" si="31"/>
        <v>6.1822222222222232</v>
      </c>
      <c r="V46" s="39">
        <f t="shared" si="32"/>
        <v>1</v>
      </c>
      <c r="W46" s="37">
        <f t="shared" si="33"/>
        <v>0.65024795270727309</v>
      </c>
      <c r="X46" s="40">
        <f t="shared" si="34"/>
        <v>1.337652931283533E-2</v>
      </c>
      <c r="Y46" s="39">
        <f t="shared" si="35"/>
        <v>12.315302134607444</v>
      </c>
      <c r="Z46" s="37">
        <f t="shared" si="28"/>
        <v>12.315302134607444</v>
      </c>
      <c r="AA46" s="37">
        <f t="shared" si="29"/>
        <v>5.7922279279042854</v>
      </c>
      <c r="AB46" s="37">
        <v>0</v>
      </c>
      <c r="AC46" s="37">
        <f t="shared" si="36"/>
        <v>6.7099808737588751E-2</v>
      </c>
      <c r="AD46" s="40">
        <f t="shared" si="19"/>
        <v>6.7099808737588751E-2</v>
      </c>
      <c r="AE46" s="39">
        <f t="shared" si="27"/>
        <v>4.0199773431814085</v>
      </c>
      <c r="AF46" s="37">
        <f t="shared" si="20"/>
        <v>5.733554438389751</v>
      </c>
      <c r="AG46" s="37">
        <f t="shared" si="37"/>
        <v>0</v>
      </c>
      <c r="AH46" s="37">
        <f t="shared" si="38"/>
        <v>12.737135779853558</v>
      </c>
      <c r="AI46" s="40">
        <f t="shared" si="21"/>
        <v>12.737135779853558</v>
      </c>
      <c r="AJ46" s="39">
        <f t="shared" si="22"/>
        <v>8.2696676774017541E-2</v>
      </c>
      <c r="AK46" s="37">
        <f t="shared" si="39"/>
        <v>0.82234899575275455</v>
      </c>
      <c r="AL46" s="37">
        <f t="shared" si="40"/>
        <v>0.90479999999999994</v>
      </c>
      <c r="AM46" s="37">
        <f t="shared" si="41"/>
        <v>1.1897599999999999</v>
      </c>
      <c r="AN46" s="40">
        <f t="shared" si="23"/>
        <v>2.09456</v>
      </c>
      <c r="AO46" s="39">
        <f t="shared" si="42"/>
        <v>4.9310469746968219E-2</v>
      </c>
      <c r="AP46" s="37">
        <f t="shared" si="43"/>
        <v>0.58509</v>
      </c>
      <c r="AQ46" s="40">
        <f t="shared" si="44"/>
        <v>6.7499999999999999E-3</v>
      </c>
      <c r="AR46" s="39">
        <f t="shared" si="24"/>
        <v>15.539946058338115</v>
      </c>
      <c r="AS46" s="37">
        <f t="shared" si="25"/>
        <v>83.460000000000008</v>
      </c>
      <c r="AT46" s="40">
        <f t="shared" si="26"/>
        <v>84.303076236848824</v>
      </c>
    </row>
    <row r="47" spans="17:46" x14ac:dyDescent="0.25">
      <c r="Q47">
        <v>40</v>
      </c>
      <c r="R47" s="39">
        <f t="shared" si="0"/>
        <v>53.5</v>
      </c>
      <c r="S47" s="37">
        <f t="shared" si="30"/>
        <v>1.6</v>
      </c>
      <c r="T47" s="37">
        <f t="shared" si="2"/>
        <v>15</v>
      </c>
      <c r="U47" s="40">
        <f t="shared" si="31"/>
        <v>6.340740740740741</v>
      </c>
      <c r="V47" s="39">
        <f t="shared" si="32"/>
        <v>1</v>
      </c>
      <c r="W47" s="37">
        <f t="shared" si="33"/>
        <v>0.65853170007221373</v>
      </c>
      <c r="X47" s="40">
        <f t="shared" si="34"/>
        <v>1.3546937830056966E-2</v>
      </c>
      <c r="Y47" s="39">
        <f t="shared" si="35"/>
        <v>12.472191289246473</v>
      </c>
      <c r="Z47" s="37">
        <f t="shared" si="28"/>
        <v>12.472191289246473</v>
      </c>
      <c r="AA47" s="37">
        <f t="shared" si="29"/>
        <v>5.9032636706573545</v>
      </c>
      <c r="AB47" s="37">
        <v>0</v>
      </c>
      <c r="AC47" s="37">
        <f t="shared" si="36"/>
        <v>6.9697043930605884E-2</v>
      </c>
      <c r="AD47" s="40">
        <f t="shared" si="19"/>
        <v>6.9697043930605884E-2</v>
      </c>
      <c r="AE47" s="39">
        <f t="shared" si="27"/>
        <v>4.1755787797171484</v>
      </c>
      <c r="AF47" s="37">
        <f t="shared" si="20"/>
        <v>5.8434654231793459</v>
      </c>
      <c r="AG47" s="37">
        <f t="shared" si="37"/>
        <v>0</v>
      </c>
      <c r="AH47" s="37">
        <f t="shared" si="38"/>
        <v>13.063729004978008</v>
      </c>
      <c r="AI47" s="40">
        <f t="shared" si="21"/>
        <v>13.063729004978008</v>
      </c>
      <c r="AJ47" s="39">
        <f t="shared" si="22"/>
        <v>8.589762061132418E-2</v>
      </c>
      <c r="AK47" s="37">
        <f t="shared" si="39"/>
        <v>0.83811324617283156</v>
      </c>
      <c r="AL47" s="37">
        <f t="shared" si="40"/>
        <v>0.92799999999999994</v>
      </c>
      <c r="AM47" s="37">
        <f t="shared" si="41"/>
        <v>1.1897599999999999</v>
      </c>
      <c r="AN47" s="40">
        <f t="shared" si="23"/>
        <v>2.1177599999999996</v>
      </c>
      <c r="AO47" s="39">
        <f t="shared" si="42"/>
        <v>5.1219132227838859E-2</v>
      </c>
      <c r="AP47" s="37">
        <f t="shared" si="43"/>
        <v>0.58509</v>
      </c>
      <c r="AQ47" s="40">
        <f t="shared" si="44"/>
        <v>6.7499999999999999E-3</v>
      </c>
      <c r="AR47" s="39">
        <f t="shared" si="24"/>
        <v>15.894245181136453</v>
      </c>
      <c r="AS47" s="37">
        <f t="shared" si="25"/>
        <v>85.600000000000009</v>
      </c>
      <c r="AT47" s="40">
        <f t="shared" si="26"/>
        <v>84.3397572416347</v>
      </c>
    </row>
    <row r="48" spans="17:46" x14ac:dyDescent="0.25">
      <c r="Q48">
        <v>41</v>
      </c>
      <c r="R48" s="39">
        <f t="shared" si="0"/>
        <v>53.5</v>
      </c>
      <c r="S48" s="37">
        <f t="shared" si="30"/>
        <v>1.6400000000000001</v>
      </c>
      <c r="T48" s="37">
        <f t="shared" si="2"/>
        <v>15</v>
      </c>
      <c r="U48" s="40">
        <f t="shared" si="31"/>
        <v>6.4992592592592597</v>
      </c>
      <c r="V48" s="39">
        <f t="shared" si="32"/>
        <v>1</v>
      </c>
      <c r="W48" s="37">
        <f t="shared" si="33"/>
        <v>0.6667125317556285</v>
      </c>
      <c r="X48" s="40">
        <f t="shared" si="34"/>
        <v>1.3715229224687214E-2</v>
      </c>
      <c r="Y48" s="39">
        <f t="shared" si="35"/>
        <v>12.62713128325054</v>
      </c>
      <c r="Z48" s="37">
        <f t="shared" si="28"/>
        <v>12.62713128325054</v>
      </c>
      <c r="AA48" s="37">
        <f t="shared" si="29"/>
        <v>6.013607523333607</v>
      </c>
      <c r="AB48" s="37">
        <v>0</v>
      </c>
      <c r="AC48" s="37">
        <f t="shared" si="36"/>
        <v>7.2326950889389119E-2</v>
      </c>
      <c r="AD48" s="40">
        <f t="shared" si="19"/>
        <v>7.2326950889389119E-2</v>
      </c>
      <c r="AE48" s="39">
        <f t="shared" si="27"/>
        <v>4.333137595276952</v>
      </c>
      <c r="AF48" s="37">
        <f t="shared" si="20"/>
        <v>5.9526915265260527</v>
      </c>
      <c r="AG48" s="37">
        <f t="shared" si="37"/>
        <v>0</v>
      </c>
      <c r="AH48" s="37">
        <f t="shared" si="38"/>
        <v>13.390322230102459</v>
      </c>
      <c r="AI48" s="40">
        <f t="shared" si="21"/>
        <v>13.390322230102459</v>
      </c>
      <c r="AJ48" s="39">
        <f t="shared" si="22"/>
        <v>8.913883053141157E-2</v>
      </c>
      <c r="AK48" s="37">
        <f t="shared" si="39"/>
        <v>0.8537792658055634</v>
      </c>
      <c r="AL48" s="37">
        <f t="shared" si="40"/>
        <v>0.95120000000000005</v>
      </c>
      <c r="AM48" s="37">
        <f t="shared" si="41"/>
        <v>1.1897599999999999</v>
      </c>
      <c r="AN48" s="40">
        <f t="shared" si="23"/>
        <v>2.1409599999999998</v>
      </c>
      <c r="AO48" s="39">
        <f t="shared" si="42"/>
        <v>5.3151804614962599E-2</v>
      </c>
      <c r="AP48" s="37">
        <f t="shared" si="43"/>
        <v>0.58509</v>
      </c>
      <c r="AQ48" s="40">
        <f t="shared" si="44"/>
        <v>6.7499999999999999E-3</v>
      </c>
      <c r="AR48" s="39">
        <f t="shared" si="24"/>
        <v>16.24860098560681</v>
      </c>
      <c r="AS48" s="37">
        <f t="shared" si="25"/>
        <v>87.740000000000009</v>
      </c>
      <c r="AT48" s="40">
        <f t="shared" si="26"/>
        <v>84.374632573568519</v>
      </c>
    </row>
    <row r="49" spans="17:46" x14ac:dyDescent="0.25">
      <c r="Q49">
        <v>42</v>
      </c>
      <c r="R49" s="39">
        <f t="shared" si="0"/>
        <v>53.5</v>
      </c>
      <c r="S49" s="37">
        <f t="shared" si="30"/>
        <v>1.68</v>
      </c>
      <c r="T49" s="37">
        <f t="shared" si="2"/>
        <v>15</v>
      </c>
      <c r="U49" s="40">
        <f t="shared" si="31"/>
        <v>6.6577777777777776</v>
      </c>
      <c r="V49" s="39">
        <f t="shared" si="32"/>
        <v>1</v>
      </c>
      <c r="W49" s="37">
        <f t="shared" si="33"/>
        <v>0.67479419084636461</v>
      </c>
      <c r="X49" s="40">
        <f t="shared" si="34"/>
        <v>1.3881480497410928E-2</v>
      </c>
      <c r="Y49" s="39">
        <f t="shared" si="35"/>
        <v>12.780193008453875</v>
      </c>
      <c r="Z49" s="37">
        <f t="shared" si="28"/>
        <v>12.780193008453875</v>
      </c>
      <c r="AA49" s="37">
        <f t="shared" si="29"/>
        <v>6.1232805201719005</v>
      </c>
      <c r="AB49" s="37">
        <v>0</v>
      </c>
      <c r="AC49" s="37">
        <f t="shared" si="36"/>
        <v>7.4989128657433332E-2</v>
      </c>
      <c r="AD49" s="40">
        <f t="shared" si="19"/>
        <v>7.4989128657433332E-2</v>
      </c>
      <c r="AE49" s="39">
        <f t="shared" si="27"/>
        <v>4.4926297683904632</v>
      </c>
      <c r="AF49" s="37">
        <f t="shared" si="20"/>
        <v>6.0612535695983496</v>
      </c>
      <c r="AG49" s="37">
        <f t="shared" si="37"/>
        <v>0</v>
      </c>
      <c r="AH49" s="37">
        <f t="shared" si="38"/>
        <v>13.716915455226909</v>
      </c>
      <c r="AI49" s="40">
        <f t="shared" si="21"/>
        <v>13.716915455226909</v>
      </c>
      <c r="AJ49" s="39">
        <f t="shared" si="22"/>
        <v>9.2419812378318089E-2</v>
      </c>
      <c r="AK49" s="37">
        <f t="shared" si="39"/>
        <v>0.86935004097769963</v>
      </c>
      <c r="AL49" s="37">
        <f t="shared" si="40"/>
        <v>0.97439999999999993</v>
      </c>
      <c r="AM49" s="37">
        <f t="shared" si="41"/>
        <v>1.1897599999999999</v>
      </c>
      <c r="AN49" s="40">
        <f t="shared" si="23"/>
        <v>2.1641599999999999</v>
      </c>
      <c r="AO49" s="39">
        <f t="shared" si="42"/>
        <v>5.5108192252453107E-2</v>
      </c>
      <c r="AP49" s="37">
        <f t="shared" si="43"/>
        <v>0.58509</v>
      </c>
      <c r="AQ49" s="40">
        <f t="shared" si="44"/>
        <v>6.7499999999999999E-3</v>
      </c>
      <c r="AR49" s="39">
        <f t="shared" si="24"/>
        <v>16.603012776136797</v>
      </c>
      <c r="AS49" s="37">
        <f t="shared" si="25"/>
        <v>89.88</v>
      </c>
      <c r="AT49" s="40">
        <f t="shared" si="26"/>
        <v>84.407829621573597</v>
      </c>
    </row>
    <row r="50" spans="17:46" x14ac:dyDescent="0.25">
      <c r="Q50">
        <v>43</v>
      </c>
      <c r="R50" s="39">
        <f t="shared" si="0"/>
        <v>53.5</v>
      </c>
      <c r="S50" s="37">
        <f t="shared" si="30"/>
        <v>1.72</v>
      </c>
      <c r="T50" s="37">
        <f t="shared" si="2"/>
        <v>15</v>
      </c>
      <c r="U50" s="40">
        <f t="shared" si="31"/>
        <v>6.8162962962962963</v>
      </c>
      <c r="V50" s="39">
        <f t="shared" si="32"/>
        <v>1</v>
      </c>
      <c r="W50" s="37">
        <f t="shared" si="33"/>
        <v>0.68278019889273289</v>
      </c>
      <c r="X50" s="40">
        <f t="shared" si="34"/>
        <v>1.4045764091507649E-2</v>
      </c>
      <c r="Y50" s="39">
        <f t="shared" si="35"/>
        <v>12.931443160847213</v>
      </c>
      <c r="Z50" s="37">
        <f t="shared" si="28"/>
        <v>12.931443160847213</v>
      </c>
      <c r="AA50" s="37">
        <f t="shared" si="29"/>
        <v>6.2323025716119993</v>
      </c>
      <c r="AB50" s="37">
        <v>0</v>
      </c>
      <c r="AC50" s="37">
        <f t="shared" si="36"/>
        <v>7.7683190688243073E-2</v>
      </c>
      <c r="AD50" s="40">
        <f t="shared" si="19"/>
        <v>7.7683190688243073E-2</v>
      </c>
      <c r="AE50" s="39">
        <f t="shared" si="27"/>
        <v>4.6540321408969838</v>
      </c>
      <c r="AF50" s="37">
        <f t="shared" si="20"/>
        <v>6.1691712611493612</v>
      </c>
      <c r="AG50" s="37">
        <f t="shared" si="37"/>
        <v>0</v>
      </c>
      <c r="AH50" s="37">
        <f t="shared" si="38"/>
        <v>14.043508680351357</v>
      </c>
      <c r="AI50" s="40">
        <f t="shared" si="21"/>
        <v>14.043508680351357</v>
      </c>
      <c r="AJ50" s="39">
        <f t="shared" si="22"/>
        <v>9.5740089755595101E-2</v>
      </c>
      <c r="AK50" s="37">
        <f t="shared" si="39"/>
        <v>0.88482839846511108</v>
      </c>
      <c r="AL50" s="37">
        <f t="shared" si="40"/>
        <v>0.99759999999999993</v>
      </c>
      <c r="AM50" s="37">
        <f t="shared" si="41"/>
        <v>1.1897599999999999</v>
      </c>
      <c r="AN50" s="40">
        <f t="shared" si="23"/>
        <v>2.18736</v>
      </c>
      <c r="AO50" s="39">
        <f t="shared" si="42"/>
        <v>5.70880110740868E-2</v>
      </c>
      <c r="AP50" s="37">
        <f t="shared" si="43"/>
        <v>0.58509</v>
      </c>
      <c r="AQ50" s="40">
        <f t="shared" si="44"/>
        <v>6.7499999999999999E-3</v>
      </c>
      <c r="AR50" s="39">
        <f t="shared" si="24"/>
        <v>16.957479882113688</v>
      </c>
      <c r="AS50" s="37">
        <f t="shared" si="25"/>
        <v>92.02</v>
      </c>
      <c r="AT50" s="40">
        <f t="shared" si="26"/>
        <v>84.43946409803435</v>
      </c>
    </row>
    <row r="51" spans="17:46" x14ac:dyDescent="0.25">
      <c r="Q51">
        <v>44</v>
      </c>
      <c r="R51" s="39">
        <f t="shared" si="0"/>
        <v>53.5</v>
      </c>
      <c r="S51" s="37">
        <f t="shared" si="30"/>
        <v>1.76</v>
      </c>
      <c r="T51" s="37">
        <f t="shared" si="2"/>
        <v>15</v>
      </c>
      <c r="U51" s="40">
        <f t="shared" si="31"/>
        <v>6.9748148148148141</v>
      </c>
      <c r="V51" s="39">
        <f t="shared" si="32"/>
        <v>1</v>
      </c>
      <c r="W51" s="37">
        <f t="shared" si="33"/>
        <v>0.6906738738362701</v>
      </c>
      <c r="X51" s="40">
        <f t="shared" si="34"/>
        <v>1.4208148261774698E-2</v>
      </c>
      <c r="Y51" s="39">
        <f t="shared" si="35"/>
        <v>13.080944580232389</v>
      </c>
      <c r="Z51" s="37">
        <f t="shared" si="28"/>
        <v>13.080944580232389</v>
      </c>
      <c r="AA51" s="37">
        <f t="shared" si="29"/>
        <v>6.3406925490160564</v>
      </c>
      <c r="AB51" s="37">
        <v>0</v>
      </c>
      <c r="AC51" s="37">
        <f t="shared" si="36"/>
        <v>8.0408764002295477E-2</v>
      </c>
      <c r="AD51" s="40">
        <f t="shared" si="19"/>
        <v>8.0408764002295477E-2</v>
      </c>
      <c r="AE51" s="39">
        <f t="shared" si="27"/>
        <v>4.8173223674387549</v>
      </c>
      <c r="AF51" s="37">
        <f t="shared" si="20"/>
        <v>6.2764632813801429</v>
      </c>
      <c r="AG51" s="37">
        <f t="shared" si="37"/>
        <v>0</v>
      </c>
      <c r="AH51" s="37">
        <f t="shared" si="38"/>
        <v>14.370101905475806</v>
      </c>
      <c r="AI51" s="40">
        <f t="shared" si="21"/>
        <v>14.370101905475806</v>
      </c>
      <c r="AJ51" s="39">
        <f t="shared" si="22"/>
        <v>9.9099202987311508E-2</v>
      </c>
      <c r="AK51" s="37">
        <f t="shared" si="39"/>
        <v>0.90021701752108463</v>
      </c>
      <c r="AL51" s="37">
        <f t="shared" si="40"/>
        <v>1.0207999999999999</v>
      </c>
      <c r="AM51" s="37">
        <f t="shared" si="41"/>
        <v>1.1897599999999999</v>
      </c>
      <c r="AN51" s="40">
        <f t="shared" si="23"/>
        <v>2.2105600000000001</v>
      </c>
      <c r="AO51" s="39">
        <f t="shared" si="42"/>
        <v>5.9090986983769779E-2</v>
      </c>
      <c r="AP51" s="37">
        <f t="shared" si="43"/>
        <v>0.58509</v>
      </c>
      <c r="AQ51" s="40">
        <f t="shared" si="44"/>
        <v>6.7499999999999999E-3</v>
      </c>
      <c r="AR51" s="39">
        <f t="shared" si="24"/>
        <v>17.312001656461874</v>
      </c>
      <c r="AS51" s="37">
        <f t="shared" si="25"/>
        <v>94.16</v>
      </c>
      <c r="AT51" s="40">
        <f t="shared" si="26"/>
        <v>84.469641345622748</v>
      </c>
    </row>
    <row r="52" spans="17:46" x14ac:dyDescent="0.25">
      <c r="Q52">
        <v>45</v>
      </c>
      <c r="R52" s="39">
        <f t="shared" si="0"/>
        <v>53.5</v>
      </c>
      <c r="S52" s="37">
        <f t="shared" si="30"/>
        <v>1.8</v>
      </c>
      <c r="T52" s="37">
        <f t="shared" si="2"/>
        <v>15</v>
      </c>
      <c r="U52" s="40">
        <f t="shared" si="31"/>
        <v>7.1333333333333329</v>
      </c>
      <c r="V52" s="39">
        <f t="shared" si="32"/>
        <v>1</v>
      </c>
      <c r="W52" s="37">
        <f t="shared" si="33"/>
        <v>0.69847834612105186</v>
      </c>
      <c r="X52" s="40">
        <f t="shared" si="34"/>
        <v>1.4368697405918781E-2</v>
      </c>
      <c r="Y52" s="39">
        <f t="shared" si="35"/>
        <v>13.228756555322951</v>
      </c>
      <c r="Z52" s="37">
        <f t="shared" si="28"/>
        <v>13.228756555322951</v>
      </c>
      <c r="AA52" s="37">
        <f t="shared" si="29"/>
        <v>6.448468361226559</v>
      </c>
      <c r="AB52" s="37">
        <v>0</v>
      </c>
      <c r="AC52" s="37">
        <f t="shared" si="36"/>
        <v>8.3165488411479888E-2</v>
      </c>
      <c r="AD52" s="40">
        <f t="shared" si="19"/>
        <v>8.3165488411479888E-2</v>
      </c>
      <c r="AE52" s="39">
        <f t="shared" si="27"/>
        <v>4.9824788689968367</v>
      </c>
      <c r="AF52" s="37">
        <f t="shared" si="20"/>
        <v>6.3831473577221036</v>
      </c>
      <c r="AG52" s="37">
        <f t="shared" si="37"/>
        <v>0</v>
      </c>
      <c r="AH52" s="37">
        <f t="shared" si="38"/>
        <v>14.69669513060026</v>
      </c>
      <c r="AI52" s="40">
        <f t="shared" si="21"/>
        <v>14.69669513060026</v>
      </c>
      <c r="AJ52" s="39">
        <f t="shared" si="22"/>
        <v>0.10249670816222063</v>
      </c>
      <c r="AK52" s="37">
        <f t="shared" si="39"/>
        <v>0.91551844074560396</v>
      </c>
      <c r="AL52" s="37">
        <f t="shared" si="40"/>
        <v>1.044</v>
      </c>
      <c r="AM52" s="37">
        <f t="shared" si="41"/>
        <v>1.1897599999999999</v>
      </c>
      <c r="AN52" s="40">
        <f t="shared" si="23"/>
        <v>2.2337600000000002</v>
      </c>
      <c r="AO52" s="39">
        <f t="shared" si="42"/>
        <v>6.1116855285592013E-2</v>
      </c>
      <c r="AP52" s="37">
        <f t="shared" si="43"/>
        <v>0.58509</v>
      </c>
      <c r="AQ52" s="40">
        <f t="shared" si="44"/>
        <v>6.7499999999999999E-3</v>
      </c>
      <c r="AR52" s="39">
        <f t="shared" si="24"/>
        <v>17.666577474297334</v>
      </c>
      <c r="AS52" s="37">
        <f t="shared" si="25"/>
        <v>96.3</v>
      </c>
      <c r="AT52" s="40">
        <f t="shared" si="26"/>
        <v>84.498457472515</v>
      </c>
    </row>
    <row r="53" spans="17:46" x14ac:dyDescent="0.25">
      <c r="Q53">
        <v>46</v>
      </c>
      <c r="R53" s="39">
        <f t="shared" si="0"/>
        <v>53.5</v>
      </c>
      <c r="S53" s="37">
        <f t="shared" si="30"/>
        <v>1.84</v>
      </c>
      <c r="T53" s="37">
        <f t="shared" si="2"/>
        <v>15</v>
      </c>
      <c r="U53" s="40">
        <f t="shared" si="31"/>
        <v>7.2918518518518516</v>
      </c>
      <c r="V53" s="39">
        <f t="shared" si="32"/>
        <v>1</v>
      </c>
      <c r="W53" s="37">
        <f t="shared" si="33"/>
        <v>0.70619657320040852</v>
      </c>
      <c r="X53" s="40">
        <f t="shared" si="34"/>
        <v>1.4527472362979833E-2</v>
      </c>
      <c r="Y53" s="39">
        <f t="shared" si="35"/>
        <v>13.374935098492585</v>
      </c>
      <c r="Z53" s="37">
        <f t="shared" si="28"/>
        <v>13.374935098492585</v>
      </c>
      <c r="AA53" s="37">
        <f t="shared" si="29"/>
        <v>6.5556470239109998</v>
      </c>
      <c r="AB53" s="37">
        <v>0</v>
      </c>
      <c r="AC53" s="37">
        <f t="shared" si="36"/>
        <v>8.5953015804226304E-2</v>
      </c>
      <c r="AD53" s="40">
        <f t="shared" si="19"/>
        <v>8.5953015804226304E-2</v>
      </c>
      <c r="AE53" s="39">
        <f t="shared" si="27"/>
        <v>5.1494807900628308</v>
      </c>
      <c r="AF53" s="37">
        <f t="shared" si="20"/>
        <v>6.4892403334792572</v>
      </c>
      <c r="AG53" s="37">
        <f t="shared" si="37"/>
        <v>0</v>
      </c>
      <c r="AH53" s="37">
        <f t="shared" si="38"/>
        <v>15.023288355724707</v>
      </c>
      <c r="AI53" s="40">
        <f t="shared" si="21"/>
        <v>15.023288355724707</v>
      </c>
      <c r="AJ53" s="39">
        <f t="shared" si="22"/>
        <v>0.1059321762527211</v>
      </c>
      <c r="AK53" s="37">
        <f t="shared" si="39"/>
        <v>0.93073508393052851</v>
      </c>
      <c r="AL53" s="37">
        <f t="shared" si="40"/>
        <v>1.0671999999999999</v>
      </c>
      <c r="AM53" s="37">
        <f t="shared" si="41"/>
        <v>1.1897599999999999</v>
      </c>
      <c r="AN53" s="40">
        <f t="shared" si="23"/>
        <v>2.2569599999999999</v>
      </c>
      <c r="AO53" s="39">
        <f t="shared" si="42"/>
        <v>6.3165360158480968E-2</v>
      </c>
      <c r="AP53" s="37">
        <f t="shared" si="43"/>
        <v>0.58509</v>
      </c>
      <c r="AQ53" s="40">
        <f t="shared" si="44"/>
        <v>6.7499999999999999E-3</v>
      </c>
      <c r="AR53" s="39">
        <f t="shared" si="24"/>
        <v>18.021206731687414</v>
      </c>
      <c r="AS53" s="37">
        <f t="shared" si="25"/>
        <v>98.44</v>
      </c>
      <c r="AT53" s="40">
        <f t="shared" si="26"/>
        <v>84.52600034172228</v>
      </c>
    </row>
    <row r="54" spans="17:46" x14ac:dyDescent="0.25">
      <c r="Q54">
        <v>47</v>
      </c>
      <c r="R54" s="39">
        <f t="shared" si="0"/>
        <v>53.5</v>
      </c>
      <c r="S54" s="37">
        <f t="shared" si="30"/>
        <v>1.8800000000000001</v>
      </c>
      <c r="T54" s="37">
        <f t="shared" si="2"/>
        <v>15</v>
      </c>
      <c r="U54" s="40">
        <f t="shared" si="31"/>
        <v>7.4503703703703712</v>
      </c>
      <c r="V54" s="39">
        <f t="shared" si="32"/>
        <v>1</v>
      </c>
      <c r="W54" s="37">
        <f t="shared" si="33"/>
        <v>0.71383135263169828</v>
      </c>
      <c r="X54" s="40">
        <f t="shared" si="34"/>
        <v>1.4684530682709222E-2</v>
      </c>
      <c r="Y54" s="39">
        <f t="shared" si="35"/>
        <v>13.519533193782163</v>
      </c>
      <c r="Z54" s="37">
        <f t="shared" si="28"/>
        <v>13.519533193782163</v>
      </c>
      <c r="AA54" s="37">
        <f t="shared" si="29"/>
        <v>6.6622447225146324</v>
      </c>
      <c r="AB54" s="37">
        <v>0</v>
      </c>
      <c r="AC54" s="37">
        <f t="shared" si="36"/>
        <v>8.8771009485348149E-2</v>
      </c>
      <c r="AD54" s="40">
        <f t="shared" si="19"/>
        <v>8.8771009485348149E-2</v>
      </c>
      <c r="AE54" s="39">
        <f t="shared" si="27"/>
        <v>5.3183079590886093</v>
      </c>
      <c r="AF54" s="37">
        <f t="shared" si="20"/>
        <v>6.5947582301432668</v>
      </c>
      <c r="AG54" s="37">
        <f t="shared" si="37"/>
        <v>0</v>
      </c>
      <c r="AH54" s="37">
        <f t="shared" si="38"/>
        <v>15.349881580849161</v>
      </c>
      <c r="AI54" s="40">
        <f t="shared" si="21"/>
        <v>15.349881580849161</v>
      </c>
      <c r="AJ54" s="39">
        <f t="shared" si="22"/>
        <v>0.10940519230125138</v>
      </c>
      <c r="AK54" s="37">
        <f t="shared" si="39"/>
        <v>0.94586924499728209</v>
      </c>
      <c r="AL54" s="37">
        <f t="shared" si="40"/>
        <v>1.0904</v>
      </c>
      <c r="AM54" s="37">
        <f t="shared" si="41"/>
        <v>1.1897599999999999</v>
      </c>
      <c r="AN54" s="40">
        <f t="shared" si="23"/>
        <v>2.28016</v>
      </c>
      <c r="AO54" s="39">
        <f t="shared" si="42"/>
        <v>6.5236254171063532E-2</v>
      </c>
      <c r="AP54" s="37">
        <f t="shared" si="43"/>
        <v>0.58509</v>
      </c>
      <c r="AQ54" s="40">
        <f t="shared" si="44"/>
        <v>6.7499999999999999E-3</v>
      </c>
      <c r="AR54" s="39">
        <f t="shared" si="24"/>
        <v>18.375888844505575</v>
      </c>
      <c r="AS54" s="37">
        <f t="shared" si="25"/>
        <v>100.58000000000001</v>
      </c>
      <c r="AT54" s="40">
        <f t="shared" si="26"/>
        <v>84.552350435945385</v>
      </c>
    </row>
    <row r="55" spans="17:46" x14ac:dyDescent="0.25">
      <c r="Q55">
        <v>48</v>
      </c>
      <c r="R55" s="39">
        <f t="shared" si="0"/>
        <v>53.5</v>
      </c>
      <c r="S55" s="37">
        <f t="shared" si="30"/>
        <v>1.92</v>
      </c>
      <c r="T55" s="37">
        <f t="shared" si="2"/>
        <v>15</v>
      </c>
      <c r="U55" s="40">
        <f t="shared" si="31"/>
        <v>7.608888888888889</v>
      </c>
      <c r="V55" s="39">
        <f t="shared" si="32"/>
        <v>2</v>
      </c>
      <c r="W55" s="37">
        <f t="shared" si="33"/>
        <v>0.71962616822429903</v>
      </c>
      <c r="X55" s="40">
        <f t="shared" si="34"/>
        <v>0.28037383177570097</v>
      </c>
      <c r="Y55" s="39">
        <f t="shared" si="35"/>
        <v>13.629283489096572</v>
      </c>
      <c r="Z55" s="37">
        <f t="shared" si="28"/>
        <v>14.423530633437174</v>
      </c>
      <c r="AA55" s="37">
        <f t="shared" si="29"/>
        <v>8.5659191465736377</v>
      </c>
      <c r="AB55" s="37">
        <v>0</v>
      </c>
      <c r="AC55" s="37">
        <f t="shared" si="36"/>
        <v>0.14674994165127367</v>
      </c>
      <c r="AD55" s="40">
        <f t="shared" si="19"/>
        <v>0.14674994165127367</v>
      </c>
      <c r="AE55" s="39">
        <f t="shared" si="27"/>
        <v>5.4755555555555553</v>
      </c>
      <c r="AF55" s="37">
        <f t="shared" si="20"/>
        <v>7.2665362518068237</v>
      </c>
      <c r="AG55" s="37">
        <f t="shared" si="37"/>
        <v>0</v>
      </c>
      <c r="AH55" s="37">
        <f t="shared" si="38"/>
        <v>15.67647480597361</v>
      </c>
      <c r="AI55" s="40">
        <f t="shared" si="21"/>
        <v>15.67647480597361</v>
      </c>
      <c r="AJ55" s="39">
        <f t="shared" si="22"/>
        <v>2.1333333333333337</v>
      </c>
      <c r="AK55" s="37">
        <f t="shared" si="39"/>
        <v>4.5356831598794543</v>
      </c>
      <c r="AL55" s="37">
        <f t="shared" si="40"/>
        <v>1.1135999999999999</v>
      </c>
      <c r="AM55" s="37">
        <f t="shared" si="41"/>
        <v>1.1897599999999999</v>
      </c>
      <c r="AN55" s="40">
        <f t="shared" si="23"/>
        <v>2.3033599999999996</v>
      </c>
      <c r="AO55" s="39">
        <f t="shared" si="42"/>
        <v>7.9203823648234153E-2</v>
      </c>
      <c r="AP55" s="37">
        <f t="shared" si="43"/>
        <v>0.58509</v>
      </c>
      <c r="AQ55" s="40">
        <f t="shared" si="44"/>
        <v>6.7499999999999999E-3</v>
      </c>
      <c r="AR55" s="39">
        <f t="shared" si="24"/>
        <v>18.797628571273119</v>
      </c>
      <c r="AS55" s="37">
        <f t="shared" si="25"/>
        <v>102.72</v>
      </c>
      <c r="AT55" s="40">
        <f t="shared" si="26"/>
        <v>84.530945186897029</v>
      </c>
    </row>
    <row r="56" spans="17:46" x14ac:dyDescent="0.25">
      <c r="Q56">
        <v>49</v>
      </c>
      <c r="R56" s="39">
        <f t="shared" si="0"/>
        <v>53.5</v>
      </c>
      <c r="S56" s="37">
        <f t="shared" si="30"/>
        <v>1.96</v>
      </c>
      <c r="T56" s="37">
        <f t="shared" si="2"/>
        <v>15</v>
      </c>
      <c r="U56" s="40">
        <f t="shared" si="31"/>
        <v>7.7674074074074078</v>
      </c>
      <c r="V56" s="39">
        <f t="shared" si="32"/>
        <v>2</v>
      </c>
      <c r="W56" s="37">
        <f t="shared" si="33"/>
        <v>0.71962616822429903</v>
      </c>
      <c r="X56" s="40">
        <f t="shared" si="34"/>
        <v>0.28037383177570097</v>
      </c>
      <c r="Y56" s="39">
        <f t="shared" si="35"/>
        <v>13.629283489096572</v>
      </c>
      <c r="Z56" s="37">
        <f t="shared" si="28"/>
        <v>14.582049151955694</v>
      </c>
      <c r="AA56" s="37">
        <f t="shared" si="29"/>
        <v>8.7070315570134174</v>
      </c>
      <c r="AB56" s="37">
        <v>0</v>
      </c>
      <c r="AC56" s="37">
        <f t="shared" si="36"/>
        <v>0.15162479706965498</v>
      </c>
      <c r="AD56" s="40">
        <f t="shared" si="19"/>
        <v>0.15162479706965498</v>
      </c>
      <c r="AE56" s="39">
        <f t="shared" si="27"/>
        <v>5.5896296296296297</v>
      </c>
      <c r="AF56" s="37">
        <f t="shared" si="20"/>
        <v>7.3862430139761406</v>
      </c>
      <c r="AG56" s="37">
        <f t="shared" si="37"/>
        <v>0</v>
      </c>
      <c r="AH56" s="37">
        <f t="shared" si="38"/>
        <v>16.00306803109806</v>
      </c>
      <c r="AI56" s="40">
        <f t="shared" si="21"/>
        <v>16.00306803109806</v>
      </c>
      <c r="AJ56" s="39">
        <f t="shared" si="22"/>
        <v>2.177777777777778</v>
      </c>
      <c r="AK56" s="37">
        <f t="shared" si="39"/>
        <v>4.6104026584796376</v>
      </c>
      <c r="AL56" s="37">
        <f t="shared" si="40"/>
        <v>1.1367999999999998</v>
      </c>
      <c r="AM56" s="37">
        <f t="shared" si="41"/>
        <v>1.1897599999999999</v>
      </c>
      <c r="AN56" s="40">
        <f t="shared" si="23"/>
        <v>2.3265599999999997</v>
      </c>
      <c r="AO56" s="39">
        <f t="shared" si="42"/>
        <v>8.1834878792267016E-2</v>
      </c>
      <c r="AP56" s="37">
        <f t="shared" si="43"/>
        <v>0.58509</v>
      </c>
      <c r="AQ56" s="40">
        <f t="shared" si="44"/>
        <v>6.7499999999999999E-3</v>
      </c>
      <c r="AR56" s="39">
        <f t="shared" si="24"/>
        <v>19.154927706959981</v>
      </c>
      <c r="AS56" s="37">
        <f t="shared" si="25"/>
        <v>104.86</v>
      </c>
      <c r="AT56" s="40">
        <f t="shared" si="26"/>
        <v>84.554337077692807</v>
      </c>
    </row>
    <row r="57" spans="17:46" x14ac:dyDescent="0.25">
      <c r="Q57">
        <v>50</v>
      </c>
      <c r="R57" s="39">
        <f t="shared" si="0"/>
        <v>53.5</v>
      </c>
      <c r="S57" s="37">
        <f t="shared" si="30"/>
        <v>2</v>
      </c>
      <c r="T57" s="37">
        <f t="shared" si="2"/>
        <v>15</v>
      </c>
      <c r="U57" s="40">
        <f t="shared" si="31"/>
        <v>7.9259259259259256</v>
      </c>
      <c r="V57" s="39">
        <f t="shared" si="32"/>
        <v>2</v>
      </c>
      <c r="W57" s="37">
        <f t="shared" si="33"/>
        <v>0.71962616822429903</v>
      </c>
      <c r="X57" s="40">
        <f t="shared" si="34"/>
        <v>0.28037383177570097</v>
      </c>
      <c r="Y57" s="39">
        <f t="shared" si="35"/>
        <v>13.629283489096572</v>
      </c>
      <c r="Z57" s="37">
        <f t="shared" si="28"/>
        <v>14.740567670474212</v>
      </c>
      <c r="AA57" s="37">
        <f t="shared" si="29"/>
        <v>8.8487333831144888</v>
      </c>
      <c r="AB57" s="37">
        <v>0</v>
      </c>
      <c r="AC57" s="37">
        <f t="shared" si="36"/>
        <v>0.15660016497088958</v>
      </c>
      <c r="AD57" s="40">
        <f t="shared" si="19"/>
        <v>0.15660016497088958</v>
      </c>
      <c r="AE57" s="39">
        <f t="shared" si="27"/>
        <v>5.7037037037037033</v>
      </c>
      <c r="AF57" s="37">
        <f t="shared" si="20"/>
        <v>7.5064497820638998</v>
      </c>
      <c r="AG57" s="37">
        <f t="shared" si="37"/>
        <v>0</v>
      </c>
      <c r="AH57" s="37">
        <f t="shared" si="38"/>
        <v>16.329661256222508</v>
      </c>
      <c r="AI57" s="40">
        <f t="shared" si="21"/>
        <v>16.329661256222508</v>
      </c>
      <c r="AJ57" s="39">
        <f t="shared" si="22"/>
        <v>2.2222222222222223</v>
      </c>
      <c r="AK57" s="37">
        <f t="shared" si="39"/>
        <v>4.6854342546660073</v>
      </c>
      <c r="AL57" s="37">
        <f t="shared" si="40"/>
        <v>1.1599999999999999</v>
      </c>
      <c r="AM57" s="37">
        <f t="shared" si="41"/>
        <v>1.1897599999999999</v>
      </c>
      <c r="AN57" s="40">
        <f t="shared" si="23"/>
        <v>2.3497599999999998</v>
      </c>
      <c r="AO57" s="39">
        <f t="shared" si="42"/>
        <v>8.4520182495970764E-2</v>
      </c>
      <c r="AP57" s="37">
        <f t="shared" si="43"/>
        <v>0.58509</v>
      </c>
      <c r="AQ57" s="40">
        <f t="shared" si="44"/>
        <v>6.7499999999999999E-3</v>
      </c>
      <c r="AR57" s="39">
        <f t="shared" si="24"/>
        <v>19.51238160368937</v>
      </c>
      <c r="AS57" s="37">
        <f t="shared" si="25"/>
        <v>107</v>
      </c>
      <c r="AT57" s="40">
        <f t="shared" si="26"/>
        <v>84.576702014184249</v>
      </c>
    </row>
    <row r="58" spans="17:46" x14ac:dyDescent="0.25">
      <c r="Q58">
        <v>51</v>
      </c>
      <c r="R58" s="39">
        <f t="shared" si="0"/>
        <v>53.5</v>
      </c>
      <c r="S58" s="37">
        <f t="shared" si="30"/>
        <v>2.04</v>
      </c>
      <c r="T58" s="37">
        <f t="shared" si="2"/>
        <v>15</v>
      </c>
      <c r="U58" s="40">
        <f t="shared" si="31"/>
        <v>8.0844444444444452</v>
      </c>
      <c r="V58" s="39">
        <f t="shared" si="32"/>
        <v>2</v>
      </c>
      <c r="W58" s="37">
        <f t="shared" si="33"/>
        <v>0.71962616822429903</v>
      </c>
      <c r="X58" s="40">
        <f t="shared" si="34"/>
        <v>0.28037383177570097</v>
      </c>
      <c r="Y58" s="39">
        <f t="shared" si="35"/>
        <v>13.629283489096572</v>
      </c>
      <c r="Z58" s="37">
        <f t="shared" si="28"/>
        <v>14.899086188992731</v>
      </c>
      <c r="AA58" s="37">
        <f t="shared" si="29"/>
        <v>8.9909967566165143</v>
      </c>
      <c r="AB58" s="37">
        <v>0</v>
      </c>
      <c r="AC58" s="37">
        <f t="shared" si="36"/>
        <v>0.16167604535497737</v>
      </c>
      <c r="AD58" s="40">
        <f t="shared" si="19"/>
        <v>0.16167604535497737</v>
      </c>
      <c r="AE58" s="39">
        <f t="shared" si="27"/>
        <v>5.8177777777777777</v>
      </c>
      <c r="AF58" s="37">
        <f t="shared" si="20"/>
        <v>7.6271329152067455</v>
      </c>
      <c r="AG58" s="37">
        <f t="shared" si="37"/>
        <v>0</v>
      </c>
      <c r="AH58" s="37">
        <f t="shared" si="38"/>
        <v>16.656254481346963</v>
      </c>
      <c r="AI58" s="40">
        <f t="shared" si="21"/>
        <v>16.656254481346963</v>
      </c>
      <c r="AJ58" s="39">
        <f t="shared" si="22"/>
        <v>2.2666666666666671</v>
      </c>
      <c r="AK58" s="37">
        <f t="shared" si="39"/>
        <v>4.7607631921004536</v>
      </c>
      <c r="AL58" s="37">
        <f t="shared" si="40"/>
        <v>1.1832</v>
      </c>
      <c r="AM58" s="37">
        <f t="shared" si="41"/>
        <v>1.1897599999999999</v>
      </c>
      <c r="AN58" s="40">
        <f t="shared" si="23"/>
        <v>2.37296</v>
      </c>
      <c r="AO58" s="39">
        <f t="shared" si="42"/>
        <v>8.7259734759345231E-2</v>
      </c>
      <c r="AP58" s="37">
        <f t="shared" si="43"/>
        <v>0.58509</v>
      </c>
      <c r="AQ58" s="40">
        <f t="shared" si="44"/>
        <v>6.7499999999999999E-3</v>
      </c>
      <c r="AR58" s="39">
        <f t="shared" si="24"/>
        <v>19.869990261461286</v>
      </c>
      <c r="AS58" s="37">
        <f t="shared" si="25"/>
        <v>109.14</v>
      </c>
      <c r="AT58" s="40">
        <f t="shared" si="26"/>
        <v>84.598099557103069</v>
      </c>
    </row>
    <row r="59" spans="17:46" x14ac:dyDescent="0.25">
      <c r="Q59">
        <v>52</v>
      </c>
      <c r="R59" s="39">
        <f t="shared" si="0"/>
        <v>53.5</v>
      </c>
      <c r="S59" s="37">
        <f t="shared" si="30"/>
        <v>2.08</v>
      </c>
      <c r="T59" s="37">
        <f t="shared" si="2"/>
        <v>15</v>
      </c>
      <c r="U59" s="40">
        <f t="shared" si="31"/>
        <v>8.242962962962963</v>
      </c>
      <c r="V59" s="39">
        <f t="shared" si="32"/>
        <v>2</v>
      </c>
      <c r="W59" s="37">
        <f t="shared" si="33"/>
        <v>0.71962616822429903</v>
      </c>
      <c r="X59" s="40">
        <f t="shared" si="34"/>
        <v>0.28037383177570097</v>
      </c>
      <c r="Y59" s="39">
        <f t="shared" si="35"/>
        <v>13.629283489096572</v>
      </c>
      <c r="Z59" s="37">
        <f t="shared" si="28"/>
        <v>15.057604707511249</v>
      </c>
      <c r="AA59" s="37">
        <f t="shared" si="29"/>
        <v>9.1337954384231299</v>
      </c>
      <c r="AB59" s="37">
        <v>0</v>
      </c>
      <c r="AC59" s="37">
        <f t="shared" si="36"/>
        <v>0.16685243822191836</v>
      </c>
      <c r="AD59" s="40">
        <f t="shared" si="19"/>
        <v>0.16685243822191836</v>
      </c>
      <c r="AE59" s="39">
        <f t="shared" si="27"/>
        <v>5.9318518518518513</v>
      </c>
      <c r="AF59" s="37">
        <f t="shared" si="20"/>
        <v>7.7482701545738806</v>
      </c>
      <c r="AG59" s="37">
        <f t="shared" si="37"/>
        <v>0</v>
      </c>
      <c r="AH59" s="37">
        <f t="shared" si="38"/>
        <v>16.982847706471407</v>
      </c>
      <c r="AI59" s="40">
        <f t="shared" si="21"/>
        <v>16.982847706471407</v>
      </c>
      <c r="AJ59" s="39">
        <f t="shared" si="22"/>
        <v>2.3111111111111113</v>
      </c>
      <c r="AK59" s="37">
        <f t="shared" si="39"/>
        <v>4.8363755770927099</v>
      </c>
      <c r="AL59" s="37">
        <f t="shared" si="40"/>
        <v>1.2063999999999999</v>
      </c>
      <c r="AM59" s="37">
        <f t="shared" si="41"/>
        <v>1.1897599999999999</v>
      </c>
      <c r="AN59" s="40">
        <f t="shared" si="23"/>
        <v>2.3961600000000001</v>
      </c>
      <c r="AO59" s="39">
        <f t="shared" si="42"/>
        <v>9.0053535582390529E-2</v>
      </c>
      <c r="AP59" s="37">
        <f t="shared" si="43"/>
        <v>0.58509</v>
      </c>
      <c r="AQ59" s="40">
        <f t="shared" si="44"/>
        <v>6.7499999999999999E-3</v>
      </c>
      <c r="AR59" s="39">
        <f t="shared" si="24"/>
        <v>20.227753680275718</v>
      </c>
      <c r="AS59" s="37">
        <f t="shared" si="25"/>
        <v>111.28</v>
      </c>
      <c r="AT59" s="40">
        <f t="shared" si="26"/>
        <v>84.618584749418019</v>
      </c>
    </row>
    <row r="60" spans="17:46" x14ac:dyDescent="0.25">
      <c r="Q60">
        <v>53</v>
      </c>
      <c r="R60" s="39">
        <f t="shared" si="0"/>
        <v>53.5</v>
      </c>
      <c r="S60" s="37">
        <f t="shared" si="30"/>
        <v>2.12</v>
      </c>
      <c r="T60" s="37">
        <f t="shared" si="2"/>
        <v>15</v>
      </c>
      <c r="U60" s="40">
        <f t="shared" si="31"/>
        <v>8.4014814814814809</v>
      </c>
      <c r="V60" s="39">
        <f t="shared" si="32"/>
        <v>2</v>
      </c>
      <c r="W60" s="37">
        <f t="shared" si="33"/>
        <v>0.71962616822429903</v>
      </c>
      <c r="X60" s="40">
        <f t="shared" si="34"/>
        <v>0.28037383177570097</v>
      </c>
      <c r="Y60" s="39">
        <f t="shared" si="35"/>
        <v>13.629283489096572</v>
      </c>
      <c r="Z60" s="37">
        <f t="shared" si="28"/>
        <v>15.216123226029767</v>
      </c>
      <c r="AA60" s="37">
        <f t="shared" si="29"/>
        <v>9.2771047092213141</v>
      </c>
      <c r="AB60" s="37">
        <v>0</v>
      </c>
      <c r="AC60" s="37">
        <f t="shared" si="36"/>
        <v>0.17212934357171256</v>
      </c>
      <c r="AD60" s="40">
        <f t="shared" si="19"/>
        <v>0.17212934357171256</v>
      </c>
      <c r="AE60" s="39">
        <f t="shared" si="27"/>
        <v>6.0459259259259248</v>
      </c>
      <c r="AF60" s="37">
        <f t="shared" si="20"/>
        <v>7.8698405305786041</v>
      </c>
      <c r="AG60" s="37">
        <f t="shared" si="37"/>
        <v>0</v>
      </c>
      <c r="AH60" s="37">
        <f t="shared" si="38"/>
        <v>17.309440931595859</v>
      </c>
      <c r="AI60" s="40">
        <f t="shared" si="21"/>
        <v>17.309440931595859</v>
      </c>
      <c r="AJ60" s="39">
        <f t="shared" si="22"/>
        <v>2.3555555555555556</v>
      </c>
      <c r="AK60" s="37">
        <f t="shared" si="39"/>
        <v>4.9122583206829216</v>
      </c>
      <c r="AL60" s="37">
        <f t="shared" si="40"/>
        <v>1.2296</v>
      </c>
      <c r="AM60" s="37">
        <f t="shared" si="41"/>
        <v>1.1897599999999999</v>
      </c>
      <c r="AN60" s="40">
        <f t="shared" si="23"/>
        <v>2.4193600000000002</v>
      </c>
      <c r="AO60" s="39">
        <f t="shared" si="42"/>
        <v>9.2901584965106587E-2</v>
      </c>
      <c r="AP60" s="37">
        <f t="shared" si="43"/>
        <v>0.58509</v>
      </c>
      <c r="AQ60" s="40">
        <f t="shared" si="44"/>
        <v>6.7499999999999999E-3</v>
      </c>
      <c r="AR60" s="39">
        <f t="shared" si="24"/>
        <v>20.585671860132678</v>
      </c>
      <c r="AS60" s="37">
        <f t="shared" si="25"/>
        <v>113.42</v>
      </c>
      <c r="AT60" s="40">
        <f t="shared" si="26"/>
        <v>84.63820853671119</v>
      </c>
    </row>
    <row r="61" spans="17:46" x14ac:dyDescent="0.25">
      <c r="Q61">
        <v>54</v>
      </c>
      <c r="R61" s="39">
        <f t="shared" si="0"/>
        <v>53.5</v>
      </c>
      <c r="S61" s="37">
        <f t="shared" si="30"/>
        <v>2.16</v>
      </c>
      <c r="T61" s="37">
        <f t="shared" si="2"/>
        <v>15</v>
      </c>
      <c r="U61" s="40">
        <f t="shared" si="31"/>
        <v>8.56</v>
      </c>
      <c r="V61" s="39">
        <f t="shared" si="32"/>
        <v>2</v>
      </c>
      <c r="W61" s="37">
        <f t="shared" si="33"/>
        <v>0.71962616822429903</v>
      </c>
      <c r="X61" s="40">
        <f t="shared" si="34"/>
        <v>0.28037383177570097</v>
      </c>
      <c r="Y61" s="39">
        <f t="shared" si="35"/>
        <v>13.629283489096572</v>
      </c>
      <c r="Z61" s="37">
        <f t="shared" si="28"/>
        <v>15.374641744548287</v>
      </c>
      <c r="AA61" s="37">
        <f t="shared" si="29"/>
        <v>9.4209012680411863</v>
      </c>
      <c r="AB61" s="37">
        <v>0</v>
      </c>
      <c r="AC61" s="37">
        <f t="shared" si="36"/>
        <v>0.17750676140436009</v>
      </c>
      <c r="AD61" s="40">
        <f t="shared" si="19"/>
        <v>0.17750676140436009</v>
      </c>
      <c r="AE61" s="39">
        <f t="shared" si="27"/>
        <v>6.16</v>
      </c>
      <c r="AF61" s="37">
        <f t="shared" si="20"/>
        <v>7.9918242768258025</v>
      </c>
      <c r="AG61" s="37">
        <f t="shared" si="37"/>
        <v>0</v>
      </c>
      <c r="AH61" s="37">
        <f t="shared" si="38"/>
        <v>17.636034156720314</v>
      </c>
      <c r="AI61" s="40">
        <f t="shared" si="21"/>
        <v>17.636034156720314</v>
      </c>
      <c r="AJ61" s="39">
        <f t="shared" si="22"/>
        <v>2.4000000000000004</v>
      </c>
      <c r="AK61" s="37">
        <f t="shared" si="39"/>
        <v>4.9883990849287283</v>
      </c>
      <c r="AL61" s="37">
        <f t="shared" si="40"/>
        <v>1.2527999999999999</v>
      </c>
      <c r="AM61" s="37">
        <f t="shared" si="41"/>
        <v>1.1897599999999999</v>
      </c>
      <c r="AN61" s="40">
        <f t="shared" si="23"/>
        <v>2.4425599999999998</v>
      </c>
      <c r="AO61" s="39">
        <f t="shared" si="42"/>
        <v>9.5803882907493393E-2</v>
      </c>
      <c r="AP61" s="37">
        <f t="shared" si="43"/>
        <v>0.58509</v>
      </c>
      <c r="AQ61" s="40">
        <f t="shared" si="44"/>
        <v>6.7499999999999999E-3</v>
      </c>
      <c r="AR61" s="39">
        <f t="shared" si="24"/>
        <v>20.943744801032167</v>
      </c>
      <c r="AS61" s="37">
        <f t="shared" si="25"/>
        <v>115.56</v>
      </c>
      <c r="AT61" s="40">
        <f t="shared" si="26"/>
        <v>84.657018141473145</v>
      </c>
    </row>
    <row r="62" spans="17:46" x14ac:dyDescent="0.25">
      <c r="Q62">
        <v>55</v>
      </c>
      <c r="R62" s="39">
        <f t="shared" si="0"/>
        <v>53.5</v>
      </c>
      <c r="S62" s="37">
        <f t="shared" si="30"/>
        <v>2.2000000000000002</v>
      </c>
      <c r="T62" s="37">
        <f t="shared" si="2"/>
        <v>15</v>
      </c>
      <c r="U62" s="40">
        <f t="shared" si="31"/>
        <v>8.7185185185185183</v>
      </c>
      <c r="V62" s="39">
        <f t="shared" si="32"/>
        <v>2</v>
      </c>
      <c r="W62" s="37">
        <f t="shared" si="33"/>
        <v>0.71962616822429903</v>
      </c>
      <c r="X62" s="40">
        <f t="shared" si="34"/>
        <v>0.28037383177570097</v>
      </c>
      <c r="Y62" s="39">
        <f t="shared" si="35"/>
        <v>13.629283489096572</v>
      </c>
      <c r="Z62" s="37">
        <f t="shared" si="28"/>
        <v>15.533160263066804</v>
      </c>
      <c r="AA62" s="37">
        <f t="shared" si="29"/>
        <v>9.5651631381764926</v>
      </c>
      <c r="AB62" s="37">
        <v>0</v>
      </c>
      <c r="AC62" s="37">
        <f t="shared" si="36"/>
        <v>0.18298469171986073</v>
      </c>
      <c r="AD62" s="40">
        <f t="shared" si="19"/>
        <v>0.18298469171986073</v>
      </c>
      <c r="AE62" s="39">
        <f t="shared" si="27"/>
        <v>6.2740740740740737</v>
      </c>
      <c r="AF62" s="37">
        <f t="shared" si="20"/>
        <v>8.114202750303571</v>
      </c>
      <c r="AG62" s="37">
        <f t="shared" si="37"/>
        <v>0</v>
      </c>
      <c r="AH62" s="37">
        <f t="shared" si="38"/>
        <v>17.962627381844761</v>
      </c>
      <c r="AI62" s="40">
        <f t="shared" si="21"/>
        <v>17.962627381844761</v>
      </c>
      <c r="AJ62" s="39">
        <f t="shared" si="22"/>
        <v>2.4444444444444446</v>
      </c>
      <c r="AK62" s="37">
        <f t="shared" si="39"/>
        <v>5.0647862330898406</v>
      </c>
      <c r="AL62" s="37">
        <f t="shared" si="40"/>
        <v>1.276</v>
      </c>
      <c r="AM62" s="37">
        <f t="shared" si="41"/>
        <v>1.1897599999999999</v>
      </c>
      <c r="AN62" s="40">
        <f t="shared" si="23"/>
        <v>2.46576</v>
      </c>
      <c r="AO62" s="39">
        <f t="shared" si="42"/>
        <v>9.8760429409551057E-2</v>
      </c>
      <c r="AP62" s="37">
        <f t="shared" si="43"/>
        <v>0.58509</v>
      </c>
      <c r="AQ62" s="40">
        <f t="shared" si="44"/>
        <v>6.7499999999999999E-3</v>
      </c>
      <c r="AR62" s="39">
        <f t="shared" si="24"/>
        <v>21.301972502974174</v>
      </c>
      <c r="AS62" s="37">
        <f t="shared" si="25"/>
        <v>117.7</v>
      </c>
      <c r="AT62" s="40">
        <f t="shared" si="26"/>
        <v>84.675057397103927</v>
      </c>
    </row>
    <row r="63" spans="17:46" x14ac:dyDescent="0.25">
      <c r="Q63">
        <v>56</v>
      </c>
      <c r="R63" s="39">
        <f t="shared" si="0"/>
        <v>53.5</v>
      </c>
      <c r="S63" s="37">
        <f t="shared" si="30"/>
        <v>2.2400000000000002</v>
      </c>
      <c r="T63" s="37">
        <f t="shared" si="2"/>
        <v>15</v>
      </c>
      <c r="U63" s="40">
        <f t="shared" si="31"/>
        <v>8.8770370370370379</v>
      </c>
      <c r="V63" s="39">
        <f t="shared" si="32"/>
        <v>2</v>
      </c>
      <c r="W63" s="37">
        <f t="shared" si="33"/>
        <v>0.71962616822429903</v>
      </c>
      <c r="X63" s="40">
        <f t="shared" si="34"/>
        <v>0.28037383177570097</v>
      </c>
      <c r="Y63" s="39">
        <f t="shared" si="35"/>
        <v>13.629283489096572</v>
      </c>
      <c r="Z63" s="37">
        <f t="shared" si="28"/>
        <v>15.691678781585324</v>
      </c>
      <c r="AA63" s="37">
        <f t="shared" si="29"/>
        <v>9.7098695799226551</v>
      </c>
      <c r="AB63" s="37">
        <v>0</v>
      </c>
      <c r="AC63" s="37">
        <f t="shared" si="36"/>
        <v>0.18856313451821471</v>
      </c>
      <c r="AD63" s="40">
        <f t="shared" si="19"/>
        <v>0.18856313451821471</v>
      </c>
      <c r="AE63" s="39">
        <f t="shared" si="27"/>
        <v>6.3881481481481481</v>
      </c>
      <c r="AF63" s="37">
        <f t="shared" si="20"/>
        <v>8.2369583573581924</v>
      </c>
      <c r="AG63" s="37">
        <f t="shared" si="37"/>
        <v>0</v>
      </c>
      <c r="AH63" s="37">
        <f t="shared" si="38"/>
        <v>18.289220606969213</v>
      </c>
      <c r="AI63" s="40">
        <f t="shared" si="21"/>
        <v>18.289220606969213</v>
      </c>
      <c r="AJ63" s="39">
        <f t="shared" si="22"/>
        <v>2.4888888888888894</v>
      </c>
      <c r="AK63" s="37">
        <f t="shared" si="39"/>
        <v>5.1414087834225368</v>
      </c>
      <c r="AL63" s="37">
        <f t="shared" si="40"/>
        <v>1.2992000000000001</v>
      </c>
      <c r="AM63" s="37">
        <f t="shared" si="41"/>
        <v>1.1897599999999999</v>
      </c>
      <c r="AN63" s="40">
        <f t="shared" si="23"/>
        <v>2.4889600000000001</v>
      </c>
      <c r="AO63" s="39">
        <f t="shared" si="42"/>
        <v>0.10177122447127947</v>
      </c>
      <c r="AP63" s="37">
        <f t="shared" si="43"/>
        <v>0.58509</v>
      </c>
      <c r="AQ63" s="40">
        <f t="shared" si="44"/>
        <v>6.7499999999999999E-3</v>
      </c>
      <c r="AR63" s="39">
        <f t="shared" si="24"/>
        <v>21.66035496595871</v>
      </c>
      <c r="AS63" s="37">
        <f t="shared" si="25"/>
        <v>119.84000000000002</v>
      </c>
      <c r="AT63" s="40">
        <f t="shared" si="26"/>
        <v>84.69236704659177</v>
      </c>
    </row>
    <row r="64" spans="17:46" x14ac:dyDescent="0.25">
      <c r="Q64">
        <v>57</v>
      </c>
      <c r="R64" s="39">
        <f t="shared" si="0"/>
        <v>53.5</v>
      </c>
      <c r="S64" s="37">
        <f t="shared" si="30"/>
        <v>2.2800000000000002</v>
      </c>
      <c r="T64" s="37">
        <f t="shared" si="2"/>
        <v>15</v>
      </c>
      <c r="U64" s="40">
        <f t="shared" si="31"/>
        <v>9.0355555555555576</v>
      </c>
      <c r="V64" s="39">
        <f t="shared" si="32"/>
        <v>2</v>
      </c>
      <c r="W64" s="37">
        <f t="shared" si="33"/>
        <v>0.71962616822429903</v>
      </c>
      <c r="X64" s="40">
        <f t="shared" si="34"/>
        <v>0.28037383177570097</v>
      </c>
      <c r="Y64" s="39">
        <f t="shared" si="35"/>
        <v>13.629283489096572</v>
      </c>
      <c r="Z64" s="37">
        <f t="shared" si="28"/>
        <v>15.850197300103844</v>
      </c>
      <c r="AA64" s="37">
        <f t="shared" si="29"/>
        <v>9.8550010096250595</v>
      </c>
      <c r="AB64" s="37">
        <v>0</v>
      </c>
      <c r="AC64" s="37">
        <f t="shared" si="36"/>
        <v>0.19424208979942187</v>
      </c>
      <c r="AD64" s="40">
        <f t="shared" si="19"/>
        <v>0.19424208979942187</v>
      </c>
      <c r="AE64" s="39">
        <f t="shared" si="27"/>
        <v>6.5022222222222235</v>
      </c>
      <c r="AF64" s="37">
        <f t="shared" si="20"/>
        <v>8.3600744850221922</v>
      </c>
      <c r="AG64" s="37">
        <f t="shared" si="37"/>
        <v>0</v>
      </c>
      <c r="AH64" s="37">
        <f t="shared" si="38"/>
        <v>18.615813832093664</v>
      </c>
      <c r="AI64" s="40">
        <f t="shared" si="21"/>
        <v>18.615813832093664</v>
      </c>
      <c r="AJ64" s="39">
        <f t="shared" si="22"/>
        <v>2.5333333333333341</v>
      </c>
      <c r="AK64" s="37">
        <f t="shared" si="39"/>
        <v>5.2182563663154626</v>
      </c>
      <c r="AL64" s="37">
        <f t="shared" si="40"/>
        <v>1.3224</v>
      </c>
      <c r="AM64" s="37">
        <f t="shared" si="41"/>
        <v>1.1897599999999999</v>
      </c>
      <c r="AN64" s="40">
        <f t="shared" si="23"/>
        <v>2.5121599999999997</v>
      </c>
      <c r="AO64" s="39">
        <f t="shared" si="42"/>
        <v>0.10483626809267861</v>
      </c>
      <c r="AP64" s="37">
        <f t="shared" si="43"/>
        <v>0.58509</v>
      </c>
      <c r="AQ64" s="40">
        <f t="shared" si="44"/>
        <v>6.7499999999999999E-3</v>
      </c>
      <c r="AR64" s="39">
        <f t="shared" si="24"/>
        <v>22.018892189985763</v>
      </c>
      <c r="AS64" s="37">
        <f t="shared" si="25"/>
        <v>121.98000000000002</v>
      </c>
      <c r="AT64" s="40">
        <f t="shared" si="26"/>
        <v>84.70898501015202</v>
      </c>
    </row>
    <row r="65" spans="17:46" x14ac:dyDescent="0.25">
      <c r="Q65">
        <v>58</v>
      </c>
      <c r="R65" s="39">
        <f t="shared" si="0"/>
        <v>53.5</v>
      </c>
      <c r="S65" s="37">
        <f t="shared" si="30"/>
        <v>2.3199999999999998</v>
      </c>
      <c r="T65" s="37">
        <f t="shared" si="2"/>
        <v>15</v>
      </c>
      <c r="U65" s="40">
        <f t="shared" si="31"/>
        <v>9.1940740740740736</v>
      </c>
      <c r="V65" s="39">
        <f t="shared" si="32"/>
        <v>2</v>
      </c>
      <c r="W65" s="37">
        <f t="shared" si="33"/>
        <v>0.71962616822429903</v>
      </c>
      <c r="X65" s="40">
        <f t="shared" si="34"/>
        <v>0.28037383177570097</v>
      </c>
      <c r="Y65" s="39">
        <f t="shared" si="35"/>
        <v>13.629283489096572</v>
      </c>
      <c r="Z65" s="37">
        <f t="shared" si="28"/>
        <v>16.00871581862236</v>
      </c>
      <c r="AA65" s="37">
        <f t="shared" si="29"/>
        <v>10.000538924565069</v>
      </c>
      <c r="AB65" s="37">
        <v>0</v>
      </c>
      <c r="AC65" s="37">
        <f t="shared" si="36"/>
        <v>0.20002155756348214</v>
      </c>
      <c r="AD65" s="40">
        <f t="shared" si="19"/>
        <v>0.20002155756348214</v>
      </c>
      <c r="AE65" s="39">
        <f t="shared" si="27"/>
        <v>6.6162962962962961</v>
      </c>
      <c r="AF65" s="37">
        <f t="shared" si="20"/>
        <v>8.4835354372945453</v>
      </c>
      <c r="AG65" s="37">
        <f t="shared" si="37"/>
        <v>0</v>
      </c>
      <c r="AH65" s="37">
        <f t="shared" si="38"/>
        <v>18.942407057218109</v>
      </c>
      <c r="AI65" s="40">
        <f t="shared" si="21"/>
        <v>18.942407057218109</v>
      </c>
      <c r="AJ65" s="39">
        <f t="shared" si="22"/>
        <v>2.5777777777777779</v>
      </c>
      <c r="AK65" s="37">
        <f t="shared" si="39"/>
        <v>5.2953191845165213</v>
      </c>
      <c r="AL65" s="37">
        <f t="shared" si="40"/>
        <v>1.3455999999999999</v>
      </c>
      <c r="AM65" s="37">
        <f t="shared" si="41"/>
        <v>1.1897599999999999</v>
      </c>
      <c r="AN65" s="40">
        <f t="shared" si="23"/>
        <v>2.5353599999999998</v>
      </c>
      <c r="AO65" s="39">
        <f t="shared" si="42"/>
        <v>0.10795556027374853</v>
      </c>
      <c r="AP65" s="37">
        <f t="shared" si="43"/>
        <v>0.58509</v>
      </c>
      <c r="AQ65" s="40">
        <f t="shared" si="44"/>
        <v>6.7499999999999999E-3</v>
      </c>
      <c r="AR65" s="39">
        <f t="shared" si="24"/>
        <v>22.37758417505534</v>
      </c>
      <c r="AS65" s="37">
        <f t="shared" si="25"/>
        <v>124.11999999999999</v>
      </c>
      <c r="AT65" s="40">
        <f t="shared" si="26"/>
        <v>84.724946625525561</v>
      </c>
    </row>
    <row r="66" spans="17:46" x14ac:dyDescent="0.25">
      <c r="Q66">
        <v>59</v>
      </c>
      <c r="R66" s="39">
        <f t="shared" si="0"/>
        <v>53.5</v>
      </c>
      <c r="S66" s="37">
        <f t="shared" si="30"/>
        <v>2.36</v>
      </c>
      <c r="T66" s="37">
        <f t="shared" si="2"/>
        <v>15</v>
      </c>
      <c r="U66" s="40">
        <f t="shared" si="31"/>
        <v>9.3525925925925915</v>
      </c>
      <c r="V66" s="39">
        <f t="shared" si="32"/>
        <v>2</v>
      </c>
      <c r="W66" s="37">
        <f t="shared" si="33"/>
        <v>0.71962616822429903</v>
      </c>
      <c r="X66" s="40">
        <f t="shared" si="34"/>
        <v>0.28037383177570097</v>
      </c>
      <c r="Y66" s="39">
        <f t="shared" si="35"/>
        <v>13.629283489096572</v>
      </c>
      <c r="Z66" s="37">
        <f t="shared" si="28"/>
        <v>16.167234337140876</v>
      </c>
      <c r="AA66" s="37">
        <f t="shared" si="29"/>
        <v>10.146465833244493</v>
      </c>
      <c r="AB66" s="37">
        <v>0</v>
      </c>
      <c r="AC66" s="37">
        <f t="shared" si="36"/>
        <v>0.20590153781039572</v>
      </c>
      <c r="AD66" s="40">
        <f t="shared" si="19"/>
        <v>0.20590153781039572</v>
      </c>
      <c r="AE66" s="39">
        <f t="shared" si="27"/>
        <v>6.7303703703703697</v>
      </c>
      <c r="AF66" s="37">
        <f t="shared" si="20"/>
        <v>8.6073263760004384</v>
      </c>
      <c r="AG66" s="37">
        <f t="shared" si="37"/>
        <v>0</v>
      </c>
      <c r="AH66" s="37">
        <f t="shared" si="38"/>
        <v>19.26900028234256</v>
      </c>
      <c r="AI66" s="40">
        <f t="shared" si="21"/>
        <v>19.26900028234256</v>
      </c>
      <c r="AJ66" s="39">
        <f t="shared" si="22"/>
        <v>2.6222222222222222</v>
      </c>
      <c r="AK66" s="37">
        <f t="shared" si="39"/>
        <v>5.3725879762182585</v>
      </c>
      <c r="AL66" s="37">
        <f t="shared" si="40"/>
        <v>1.3687999999999998</v>
      </c>
      <c r="AM66" s="37">
        <f t="shared" si="41"/>
        <v>1.1897599999999999</v>
      </c>
      <c r="AN66" s="40">
        <f t="shared" si="23"/>
        <v>2.5585599999999999</v>
      </c>
      <c r="AO66" s="39">
        <f t="shared" si="42"/>
        <v>0.11112910101448925</v>
      </c>
      <c r="AP66" s="37">
        <f t="shared" si="43"/>
        <v>0.58509</v>
      </c>
      <c r="AQ66" s="40">
        <f t="shared" si="44"/>
        <v>6.7499999999999999E-3</v>
      </c>
      <c r="AR66" s="39">
        <f t="shared" si="24"/>
        <v>22.736430921167447</v>
      </c>
      <c r="AS66" s="37">
        <f t="shared" si="25"/>
        <v>126.25999999999999</v>
      </c>
      <c r="AT66" s="40">
        <f t="shared" si="26"/>
        <v>84.740284864140762</v>
      </c>
    </row>
    <row r="67" spans="17:46" x14ac:dyDescent="0.25">
      <c r="Q67">
        <v>60</v>
      </c>
      <c r="R67" s="39">
        <f t="shared" si="0"/>
        <v>53.5</v>
      </c>
      <c r="S67" s="37">
        <f t="shared" si="30"/>
        <v>2.4</v>
      </c>
      <c r="T67" s="37">
        <f t="shared" si="2"/>
        <v>15</v>
      </c>
      <c r="U67" s="40">
        <f t="shared" si="31"/>
        <v>9.5111111111111111</v>
      </c>
      <c r="V67" s="39">
        <f t="shared" si="32"/>
        <v>2</v>
      </c>
      <c r="W67" s="37">
        <f t="shared" si="33"/>
        <v>0.71962616822429903</v>
      </c>
      <c r="X67" s="40">
        <f t="shared" si="34"/>
        <v>0.28037383177570097</v>
      </c>
      <c r="Y67" s="39">
        <f t="shared" si="35"/>
        <v>13.629283489096572</v>
      </c>
      <c r="Z67" s="37">
        <f t="shared" si="28"/>
        <v>16.325752855659395</v>
      </c>
      <c r="AA67" s="37">
        <f t="shared" si="29"/>
        <v>10.292765190660926</v>
      </c>
      <c r="AB67" s="37">
        <v>0</v>
      </c>
      <c r="AC67" s="37">
        <f t="shared" si="36"/>
        <v>0.2118820305401625</v>
      </c>
      <c r="AD67" s="40">
        <f t="shared" si="19"/>
        <v>0.2118820305401625</v>
      </c>
      <c r="AE67" s="39">
        <f t="shared" si="27"/>
        <v>6.8444444444444441</v>
      </c>
      <c r="AF67" s="37">
        <f t="shared" si="20"/>
        <v>8.7314332658848475</v>
      </c>
      <c r="AG67" s="37">
        <f t="shared" si="37"/>
        <v>0</v>
      </c>
      <c r="AH67" s="37">
        <f t="shared" si="38"/>
        <v>19.595593507467008</v>
      </c>
      <c r="AI67" s="40">
        <f t="shared" si="21"/>
        <v>19.595593507467008</v>
      </c>
      <c r="AJ67" s="39">
        <f t="shared" si="22"/>
        <v>2.666666666666667</v>
      </c>
      <c r="AK67" s="37">
        <f t="shared" si="39"/>
        <v>5.4500539807859454</v>
      </c>
      <c r="AL67" s="37">
        <f t="shared" si="40"/>
        <v>1.3919999999999999</v>
      </c>
      <c r="AM67" s="37">
        <f t="shared" si="41"/>
        <v>1.1897599999999999</v>
      </c>
      <c r="AN67" s="40">
        <f t="shared" si="23"/>
        <v>2.5817600000000001</v>
      </c>
      <c r="AO67" s="39">
        <f t="shared" si="42"/>
        <v>0.11435689031490082</v>
      </c>
      <c r="AP67" s="37">
        <f t="shared" si="43"/>
        <v>0.58509</v>
      </c>
      <c r="AQ67" s="40">
        <f t="shared" si="44"/>
        <v>6.7499999999999999E-3</v>
      </c>
      <c r="AR67" s="39">
        <f t="shared" si="24"/>
        <v>23.095432428322074</v>
      </c>
      <c r="AS67" s="37">
        <f t="shared" si="25"/>
        <v>128.4</v>
      </c>
      <c r="AT67" s="40">
        <f t="shared" si="26"/>
        <v>84.755030525920745</v>
      </c>
    </row>
    <row r="68" spans="17:46" x14ac:dyDescent="0.25">
      <c r="Q68">
        <v>61</v>
      </c>
      <c r="R68" s="39">
        <f t="shared" si="0"/>
        <v>53.5</v>
      </c>
      <c r="S68" s="37">
        <f t="shared" si="30"/>
        <v>2.44</v>
      </c>
      <c r="T68" s="37">
        <f t="shared" si="2"/>
        <v>15</v>
      </c>
      <c r="U68" s="40">
        <f t="shared" si="31"/>
        <v>9.6696296296296289</v>
      </c>
      <c r="V68" s="39">
        <f t="shared" si="32"/>
        <v>2</v>
      </c>
      <c r="W68" s="37">
        <f t="shared" si="33"/>
        <v>0.71962616822429903</v>
      </c>
      <c r="X68" s="40">
        <f t="shared" si="34"/>
        <v>0.28037383177570097</v>
      </c>
      <c r="Y68" s="39">
        <f t="shared" si="35"/>
        <v>13.629283489096572</v>
      </c>
      <c r="Z68" s="37">
        <f t="shared" si="28"/>
        <v>16.484271374177915</v>
      </c>
      <c r="AA68" s="37">
        <f t="shared" si="29"/>
        <v>10.439421338196446</v>
      </c>
      <c r="AB68" s="37">
        <v>0</v>
      </c>
      <c r="AC68" s="37">
        <f t="shared" si="36"/>
        <v>0.21796303575278256</v>
      </c>
      <c r="AD68" s="40">
        <f t="shared" si="19"/>
        <v>0.21796303575278256</v>
      </c>
      <c r="AE68" s="39">
        <f t="shared" si="27"/>
        <v>6.9585185185185177</v>
      </c>
      <c r="AF68" s="37">
        <f t="shared" si="20"/>
        <v>8.8558428236196338</v>
      </c>
      <c r="AG68" s="37">
        <f t="shared" si="37"/>
        <v>0</v>
      </c>
      <c r="AH68" s="37">
        <f t="shared" si="38"/>
        <v>19.922186732591459</v>
      </c>
      <c r="AI68" s="40">
        <f t="shared" si="21"/>
        <v>19.922186732591459</v>
      </c>
      <c r="AJ68" s="39">
        <f t="shared" si="22"/>
        <v>2.7111111111111112</v>
      </c>
      <c r="AK68" s="37">
        <f t="shared" si="39"/>
        <v>5.5277089069284271</v>
      </c>
      <c r="AL68" s="37">
        <f t="shared" si="40"/>
        <v>1.4151999999999998</v>
      </c>
      <c r="AM68" s="37">
        <f t="shared" si="41"/>
        <v>1.1897599999999999</v>
      </c>
      <c r="AN68" s="40">
        <f t="shared" si="23"/>
        <v>2.6049599999999997</v>
      </c>
      <c r="AO68" s="39">
        <f t="shared" si="42"/>
        <v>0.11763892817498306</v>
      </c>
      <c r="AP68" s="37">
        <f t="shared" si="43"/>
        <v>0.58509</v>
      </c>
      <c r="AQ68" s="40">
        <f t="shared" si="44"/>
        <v>6.7499999999999999E-3</v>
      </c>
      <c r="AR68" s="39">
        <f t="shared" si="24"/>
        <v>23.454588696519224</v>
      </c>
      <c r="AS68" s="37">
        <f t="shared" si="25"/>
        <v>130.54</v>
      </c>
      <c r="AT68" s="40">
        <f t="shared" si="26"/>
        <v>84.769212415157185</v>
      </c>
    </row>
    <row r="69" spans="17:46" x14ac:dyDescent="0.25">
      <c r="Q69">
        <v>62</v>
      </c>
      <c r="R69" s="39">
        <f t="shared" si="0"/>
        <v>53.5</v>
      </c>
      <c r="S69" s="37">
        <f t="shared" si="30"/>
        <v>2.48</v>
      </c>
      <c r="T69" s="37">
        <f t="shared" si="2"/>
        <v>15</v>
      </c>
      <c r="U69" s="40">
        <f t="shared" si="31"/>
        <v>9.8281481481481485</v>
      </c>
      <c r="V69" s="39">
        <f t="shared" si="32"/>
        <v>2</v>
      </c>
      <c r="W69" s="37">
        <f t="shared" si="33"/>
        <v>0.71962616822429903</v>
      </c>
      <c r="X69" s="40">
        <f t="shared" si="34"/>
        <v>0.28037383177570097</v>
      </c>
      <c r="Y69" s="39">
        <f t="shared" si="35"/>
        <v>13.629283489096572</v>
      </c>
      <c r="Z69" s="37">
        <f t="shared" si="28"/>
        <v>16.642789892696435</v>
      </c>
      <c r="AA69" s="37">
        <f t="shared" si="29"/>
        <v>10.586419447770238</v>
      </c>
      <c r="AB69" s="37">
        <v>0</v>
      </c>
      <c r="AC69" s="37">
        <f t="shared" si="36"/>
        <v>0.22414455344825585</v>
      </c>
      <c r="AD69" s="40">
        <f t="shared" si="19"/>
        <v>0.22414455344825585</v>
      </c>
      <c r="AE69" s="39">
        <f t="shared" si="27"/>
        <v>7.072592592592593</v>
      </c>
      <c r="AF69" s="37">
        <f t="shared" si="20"/>
        <v>8.9805424704277996</v>
      </c>
      <c r="AG69" s="37">
        <f t="shared" si="37"/>
        <v>0</v>
      </c>
      <c r="AH69" s="37">
        <f t="shared" si="38"/>
        <v>20.248779957715914</v>
      </c>
      <c r="AI69" s="40">
        <f t="shared" si="21"/>
        <v>20.248779957715914</v>
      </c>
      <c r="AJ69" s="39">
        <f t="shared" si="22"/>
        <v>2.755555555555556</v>
      </c>
      <c r="AK69" s="37">
        <f t="shared" si="39"/>
        <v>5.6055449031267646</v>
      </c>
      <c r="AL69" s="37">
        <f t="shared" si="40"/>
        <v>1.4383999999999999</v>
      </c>
      <c r="AM69" s="37">
        <f t="shared" si="41"/>
        <v>1.1897599999999999</v>
      </c>
      <c r="AN69" s="40">
        <f t="shared" si="23"/>
        <v>2.6281599999999998</v>
      </c>
      <c r="AO69" s="39">
        <f t="shared" si="42"/>
        <v>0.12097521459473617</v>
      </c>
      <c r="AP69" s="37">
        <f t="shared" si="43"/>
        <v>0.58509</v>
      </c>
      <c r="AQ69" s="40">
        <f t="shared" si="44"/>
        <v>6.7499999999999999E-3</v>
      </c>
      <c r="AR69" s="39">
        <f t="shared" si="24"/>
        <v>23.813899725758908</v>
      </c>
      <c r="AS69" s="37">
        <f t="shared" si="25"/>
        <v>132.68</v>
      </c>
      <c r="AT69" s="40">
        <f t="shared" si="26"/>
        <v>84.782857499563519</v>
      </c>
    </row>
    <row r="70" spans="17:46" x14ac:dyDescent="0.25">
      <c r="Q70">
        <v>63</v>
      </c>
      <c r="R70" s="39">
        <f t="shared" si="0"/>
        <v>53.5</v>
      </c>
      <c r="S70" s="37">
        <f t="shared" si="30"/>
        <v>2.52</v>
      </c>
      <c r="T70" s="37">
        <f t="shared" si="2"/>
        <v>15</v>
      </c>
      <c r="U70" s="40">
        <f t="shared" si="31"/>
        <v>9.9866666666666664</v>
      </c>
      <c r="V70" s="39">
        <f t="shared" si="32"/>
        <v>2</v>
      </c>
      <c r="W70" s="37">
        <f t="shared" si="33"/>
        <v>0.71962616822429903</v>
      </c>
      <c r="X70" s="40">
        <f t="shared" si="34"/>
        <v>0.28037383177570097</v>
      </c>
      <c r="Y70" s="39">
        <f t="shared" si="35"/>
        <v>13.629283489096572</v>
      </c>
      <c r="Z70" s="37">
        <f t="shared" si="28"/>
        <v>16.801308411214954</v>
      </c>
      <c r="AA70" s="37">
        <f t="shared" si="29"/>
        <v>10.733745469932252</v>
      </c>
      <c r="AB70" s="37">
        <v>0</v>
      </c>
      <c r="AC70" s="37">
        <f t="shared" si="36"/>
        <v>0.2304265836265823</v>
      </c>
      <c r="AD70" s="40">
        <f t="shared" si="19"/>
        <v>0.2304265836265823</v>
      </c>
      <c r="AE70" s="39">
        <f t="shared" si="27"/>
        <v>7.1866666666666665</v>
      </c>
      <c r="AF70" s="37">
        <f t="shared" si="20"/>
        <v>9.1055202880509096</v>
      </c>
      <c r="AG70" s="37">
        <f t="shared" si="37"/>
        <v>0</v>
      </c>
      <c r="AH70" s="37">
        <f t="shared" si="38"/>
        <v>20.575373182840359</v>
      </c>
      <c r="AI70" s="40">
        <f t="shared" si="21"/>
        <v>20.575373182840359</v>
      </c>
      <c r="AJ70" s="39">
        <f t="shared" si="22"/>
        <v>2.8000000000000003</v>
      </c>
      <c r="AK70" s="37">
        <f t="shared" si="39"/>
        <v>5.6835545301496353</v>
      </c>
      <c r="AL70" s="37">
        <f t="shared" si="40"/>
        <v>1.4616</v>
      </c>
      <c r="AM70" s="37">
        <f t="shared" si="41"/>
        <v>1.1897599999999999</v>
      </c>
      <c r="AN70" s="40">
        <f t="shared" si="23"/>
        <v>2.6513599999999999</v>
      </c>
      <c r="AO70" s="39">
        <f t="shared" si="42"/>
        <v>0.12436574957416008</v>
      </c>
      <c r="AP70" s="37">
        <f t="shared" si="43"/>
        <v>0.58509</v>
      </c>
      <c r="AQ70" s="40">
        <f t="shared" si="44"/>
        <v>6.7499999999999999E-3</v>
      </c>
      <c r="AR70" s="39">
        <f t="shared" si="24"/>
        <v>24.173365516041102</v>
      </c>
      <c r="AS70" s="37">
        <f t="shared" si="25"/>
        <v>134.82</v>
      </c>
      <c r="AT70" s="40">
        <f t="shared" si="26"/>
        <v>84.7959910543549</v>
      </c>
    </row>
    <row r="71" spans="17:46" x14ac:dyDescent="0.25">
      <c r="Q71">
        <v>64</v>
      </c>
      <c r="R71" s="39">
        <f t="shared" ref="R71:R134" si="45">VOUT</f>
        <v>53.5</v>
      </c>
      <c r="S71" s="37">
        <f t="shared" ref="S71:S102" si="46">Q71*$O$12</f>
        <v>2.56</v>
      </c>
      <c r="T71" s="37">
        <f t="shared" ref="T71:T134" si="47">VIN_var</f>
        <v>15</v>
      </c>
      <c r="U71" s="40">
        <f t="shared" ref="U71:U102" si="48">(R71*S71)/(T71*EFF_est)</f>
        <v>10.145185185185186</v>
      </c>
      <c r="V71" s="39">
        <f t="shared" ref="V71:V102" si="49">IF((S71*R71/T71)&lt;((T71*(1-(T71/R71)))/(2*Lm*Fsw)),1,2)</f>
        <v>2</v>
      </c>
      <c r="W71" s="37">
        <f t="shared" ref="W71:W102" si="50">CHOOSE(V71,SQRT((2*S71*Lm*Fsw*(R71-T71))/((T71)^2)),1-(T71/R71))</f>
        <v>0.71962616822429903</v>
      </c>
      <c r="X71" s="40">
        <f t="shared" ref="X71:X102" si="51">CHOOSE(V71,(Lm*W71*Fsw)/(R71-T71),1-W71)</f>
        <v>0.28037383177570097</v>
      </c>
      <c r="Y71" s="39">
        <f t="shared" ref="Y71:Y102" si="52">(T71*W71)/(Lm*Fsw)</f>
        <v>13.629283489096572</v>
      </c>
      <c r="Z71" s="37">
        <f t="shared" si="28"/>
        <v>16.959826929733474</v>
      </c>
      <c r="AA71" s="37">
        <f t="shared" si="29"/>
        <v>10.881386085599619</v>
      </c>
      <c r="AB71" s="37">
        <v>0</v>
      </c>
      <c r="AC71" s="37">
        <f t="shared" ref="AC71:AC102" si="53">(AA71^2)*Rdcr</f>
        <v>0.23680912628776199</v>
      </c>
      <c r="AD71" s="40">
        <f t="shared" si="19"/>
        <v>0.23680912628776199</v>
      </c>
      <c r="AE71" s="39">
        <f t="shared" si="27"/>
        <v>7.300740740740741</v>
      </c>
      <c r="AF71" s="37">
        <f t="shared" si="20"/>
        <v>9.2307649778067251</v>
      </c>
      <c r="AG71" s="37">
        <f t="shared" ref="AG71:AG102" si="54">(AF71^2)*RDS_on</f>
        <v>0</v>
      </c>
      <c r="AH71" s="37">
        <f t="shared" ref="AH71:AH102" si="55">((R71*U71)/2)*Fsw*(tr_sw+tf_sw)</f>
        <v>20.901966407964814</v>
      </c>
      <c r="AI71" s="40">
        <f t="shared" si="21"/>
        <v>20.901966407964814</v>
      </c>
      <c r="AJ71" s="39">
        <f t="shared" si="22"/>
        <v>2.844444444444445</v>
      </c>
      <c r="AK71" s="37">
        <f t="shared" ref="AK71:AK102" si="56">CHOOSE(V71,Z71*SQRT(X71/3),SQRT(X71*((Z71^2)+((Y71^2)/3)-(Y71*Z71))))</f>
        <v>5.7617307354976131</v>
      </c>
      <c r="AL71" s="37">
        <f t="shared" ref="AL71:AL102" si="57">S71*Vd_rect</f>
        <v>1.4847999999999999</v>
      </c>
      <c r="AM71" s="37">
        <f t="shared" ref="AM71:AM102" si="58">CHOOSE(V71,(R71+Vd_rect)*Qrr*Fsw,(R71+Vd_rect)*Qrr*Fsw)</f>
        <v>1.1897599999999999</v>
      </c>
      <c r="AN71" s="40">
        <f t="shared" si="23"/>
        <v>2.6745599999999996</v>
      </c>
      <c r="AO71" s="39">
        <f t="shared" ref="AO71:AO102" si="59">(AF71^2)*R_cs</f>
        <v>0.1278105331132548</v>
      </c>
      <c r="AP71" s="37">
        <f t="shared" ref="AP71:AP102" si="60">Qg_tot*Vcc*Fsw</f>
        <v>0.58509</v>
      </c>
      <c r="AQ71" s="40">
        <f t="shared" ref="AQ71:AQ102" si="61">IQ*T71</f>
        <v>6.7499999999999999E-3</v>
      </c>
      <c r="AR71" s="39">
        <f t="shared" si="24"/>
        <v>24.532986067365833</v>
      </c>
      <c r="AS71" s="37">
        <f t="shared" si="25"/>
        <v>136.96</v>
      </c>
      <c r="AT71" s="40">
        <f t="shared" si="26"/>
        <v>84.808636792973758</v>
      </c>
    </row>
    <row r="72" spans="17:46" x14ac:dyDescent="0.25">
      <c r="Q72">
        <v>65</v>
      </c>
      <c r="R72" s="39">
        <f t="shared" si="45"/>
        <v>53.5</v>
      </c>
      <c r="S72" s="37">
        <f t="shared" si="46"/>
        <v>2.6</v>
      </c>
      <c r="T72" s="37">
        <f t="shared" si="47"/>
        <v>15</v>
      </c>
      <c r="U72" s="40">
        <f t="shared" si="48"/>
        <v>10.303703703703704</v>
      </c>
      <c r="V72" s="39">
        <f t="shared" si="49"/>
        <v>2</v>
      </c>
      <c r="W72" s="37">
        <f t="shared" si="50"/>
        <v>0.71962616822429903</v>
      </c>
      <c r="X72" s="40">
        <f t="shared" si="51"/>
        <v>0.28037383177570097</v>
      </c>
      <c r="Y72" s="39">
        <f t="shared" si="52"/>
        <v>13.629283489096572</v>
      </c>
      <c r="Z72" s="37">
        <f t="shared" si="28"/>
        <v>17.11834544825199</v>
      </c>
      <c r="AA72" s="37">
        <f t="shared" si="29"/>
        <v>11.029328661160545</v>
      </c>
      <c r="AB72" s="37">
        <v>0</v>
      </c>
      <c r="AC72" s="37">
        <f t="shared" si="53"/>
        <v>0.2432921814317949</v>
      </c>
      <c r="AD72" s="40">
        <f t="shared" ref="AD72:AD135" si="62">AB72+AC72</f>
        <v>0.2432921814317949</v>
      </c>
      <c r="AE72" s="39">
        <f t="shared" si="27"/>
        <v>7.4148148148148145</v>
      </c>
      <c r="AF72" s="37">
        <f t="shared" ref="AF72:AF135" si="63">CHOOSE(V72,Z72*SQRT(W72/3),SQRT(W72*((Z72^2)+((Y72^2)/3)-(Z72*Y72))))</f>
        <v>9.3562658225034827</v>
      </c>
      <c r="AG72" s="37">
        <f t="shared" si="54"/>
        <v>0</v>
      </c>
      <c r="AH72" s="37">
        <f t="shared" si="55"/>
        <v>21.228559633089262</v>
      </c>
      <c r="AI72" s="40">
        <f t="shared" ref="AI72:AI135" si="64">AG72+AH72</f>
        <v>21.228559633089262</v>
      </c>
      <c r="AJ72" s="39">
        <f t="shared" ref="AJ72:AJ135" si="65">X72*U72</f>
        <v>2.8888888888888893</v>
      </c>
      <c r="AK72" s="37">
        <f t="shared" si="56"/>
        <v>5.8400668296305218</v>
      </c>
      <c r="AL72" s="37">
        <f t="shared" si="57"/>
        <v>1.508</v>
      </c>
      <c r="AM72" s="37">
        <f t="shared" si="58"/>
        <v>1.1897599999999999</v>
      </c>
      <c r="AN72" s="40">
        <f t="shared" ref="AN72:AN135" si="66">AL72+AM72</f>
        <v>2.6977599999999997</v>
      </c>
      <c r="AO72" s="39">
        <f t="shared" si="59"/>
        <v>0.13130956521202017</v>
      </c>
      <c r="AP72" s="37">
        <f t="shared" si="60"/>
        <v>0.58509</v>
      </c>
      <c r="AQ72" s="40">
        <f t="shared" si="61"/>
        <v>6.7499999999999999E-3</v>
      </c>
      <c r="AR72" s="39">
        <f t="shared" ref="AR72:AR135" si="67">AO72+AN72+AI72+AD72+AP72+AQ72</f>
        <v>24.892761379733077</v>
      </c>
      <c r="AS72" s="37">
        <f t="shared" ref="AS72:AS135" si="68">R72*S72</f>
        <v>139.1</v>
      </c>
      <c r="AT72" s="40">
        <f t="shared" ref="AT72:AT135" si="69">(AS72/(AS72+AR72))*100</f>
        <v>84.820816985883468</v>
      </c>
    </row>
    <row r="73" spans="17:46" x14ac:dyDescent="0.25">
      <c r="Q73">
        <v>66</v>
      </c>
      <c r="R73" s="39">
        <f t="shared" si="45"/>
        <v>53.5</v>
      </c>
      <c r="S73" s="37">
        <f t="shared" si="46"/>
        <v>2.64</v>
      </c>
      <c r="T73" s="37">
        <f t="shared" si="47"/>
        <v>15</v>
      </c>
      <c r="U73" s="40">
        <f t="shared" si="48"/>
        <v>10.462222222222223</v>
      </c>
      <c r="V73" s="39">
        <f t="shared" si="49"/>
        <v>2</v>
      </c>
      <c r="W73" s="37">
        <f t="shared" si="50"/>
        <v>0.71962616822429903</v>
      </c>
      <c r="X73" s="40">
        <f t="shared" si="51"/>
        <v>0.28037383177570097</v>
      </c>
      <c r="Y73" s="39">
        <f t="shared" si="52"/>
        <v>13.629283489096572</v>
      </c>
      <c r="Z73" s="37">
        <f t="shared" si="28"/>
        <v>17.27686396677051</v>
      </c>
      <c r="AA73" s="37">
        <f t="shared" si="29"/>
        <v>11.17756120669176</v>
      </c>
      <c r="AB73" s="37">
        <v>0</v>
      </c>
      <c r="AC73" s="37">
        <f t="shared" si="53"/>
        <v>0.2498757490586811</v>
      </c>
      <c r="AD73" s="40">
        <f t="shared" si="62"/>
        <v>0.2498757490586811</v>
      </c>
      <c r="AE73" s="39">
        <f t="shared" ref="AE73:AE136" si="70">U73*W73</f>
        <v>7.5288888888888899</v>
      </c>
      <c r="AF73" s="37">
        <f t="shared" si="63"/>
        <v>9.4820126509954417</v>
      </c>
      <c r="AG73" s="37">
        <f t="shared" si="54"/>
        <v>0</v>
      </c>
      <c r="AH73" s="37">
        <f t="shared" si="55"/>
        <v>21.555152858213713</v>
      </c>
      <c r="AI73" s="40">
        <f t="shared" si="64"/>
        <v>21.555152858213713</v>
      </c>
      <c r="AJ73" s="39">
        <f t="shared" si="65"/>
        <v>2.933333333333334</v>
      </c>
      <c r="AK73" s="37">
        <f t="shared" si="56"/>
        <v>5.9185564638434398</v>
      </c>
      <c r="AL73" s="37">
        <f t="shared" si="57"/>
        <v>1.5311999999999999</v>
      </c>
      <c r="AM73" s="37">
        <f t="shared" si="58"/>
        <v>1.1897599999999999</v>
      </c>
      <c r="AN73" s="40">
        <f t="shared" si="66"/>
        <v>2.7209599999999998</v>
      </c>
      <c r="AO73" s="39">
        <f t="shared" si="59"/>
        <v>0.13486284587045641</v>
      </c>
      <c r="AP73" s="37">
        <f t="shared" si="60"/>
        <v>0.58509</v>
      </c>
      <c r="AQ73" s="40">
        <f t="shared" si="61"/>
        <v>6.7499999999999999E-3</v>
      </c>
      <c r="AR73" s="39">
        <f t="shared" si="67"/>
        <v>25.252691453142852</v>
      </c>
      <c r="AS73" s="37">
        <f t="shared" si="68"/>
        <v>141.24</v>
      </c>
      <c r="AT73" s="40">
        <f t="shared" si="69"/>
        <v>84.832552568681436</v>
      </c>
    </row>
    <row r="74" spans="17:46" x14ac:dyDescent="0.25">
      <c r="Q74">
        <v>67</v>
      </c>
      <c r="R74" s="39">
        <f t="shared" si="45"/>
        <v>53.5</v>
      </c>
      <c r="S74" s="37">
        <f t="shared" si="46"/>
        <v>2.68</v>
      </c>
      <c r="T74" s="37">
        <f t="shared" si="47"/>
        <v>15</v>
      </c>
      <c r="U74" s="40">
        <f t="shared" si="48"/>
        <v>10.620740740740741</v>
      </c>
      <c r="V74" s="39">
        <f t="shared" si="49"/>
        <v>2</v>
      </c>
      <c r="W74" s="37">
        <f t="shared" si="50"/>
        <v>0.71962616822429903</v>
      </c>
      <c r="X74" s="40">
        <f t="shared" si="51"/>
        <v>0.28037383177570097</v>
      </c>
      <c r="Y74" s="39">
        <f t="shared" si="52"/>
        <v>13.629283489096572</v>
      </c>
      <c r="Z74" s="37">
        <f t="shared" si="28"/>
        <v>17.435382485289026</v>
      </c>
      <c r="AA74" s="37">
        <f t="shared" si="29"/>
        <v>11.326072337055342</v>
      </c>
      <c r="AB74" s="37">
        <v>0</v>
      </c>
      <c r="AC74" s="37">
        <f t="shared" si="53"/>
        <v>0.25655982916842052</v>
      </c>
      <c r="AD74" s="40">
        <f t="shared" si="62"/>
        <v>0.25655982916842052</v>
      </c>
      <c r="AE74" s="39">
        <f t="shared" si="70"/>
        <v>7.6429629629629634</v>
      </c>
      <c r="AF74" s="37">
        <f t="shared" si="63"/>
        <v>9.6079958051809911</v>
      </c>
      <c r="AG74" s="37">
        <f t="shared" si="54"/>
        <v>0</v>
      </c>
      <c r="AH74" s="37">
        <f t="shared" si="55"/>
        <v>21.881746083338161</v>
      </c>
      <c r="AI74" s="40">
        <f t="shared" si="64"/>
        <v>21.881746083338161</v>
      </c>
      <c r="AJ74" s="39">
        <f t="shared" si="65"/>
        <v>2.9777777777777783</v>
      </c>
      <c r="AK74" s="37">
        <f t="shared" si="56"/>
        <v>5.9971936096673275</v>
      </c>
      <c r="AL74" s="37">
        <f t="shared" si="57"/>
        <v>1.5544</v>
      </c>
      <c r="AM74" s="37">
        <f t="shared" si="58"/>
        <v>1.1897599999999999</v>
      </c>
      <c r="AN74" s="40">
        <f t="shared" si="66"/>
        <v>2.7441599999999999</v>
      </c>
      <c r="AO74" s="39">
        <f t="shared" si="59"/>
        <v>0.13847037508856327</v>
      </c>
      <c r="AP74" s="37">
        <f t="shared" si="60"/>
        <v>0.58509</v>
      </c>
      <c r="AQ74" s="40">
        <f t="shared" si="61"/>
        <v>6.7499999999999999E-3</v>
      </c>
      <c r="AR74" s="39">
        <f t="shared" si="67"/>
        <v>25.612776287595146</v>
      </c>
      <c r="AS74" s="37">
        <f t="shared" si="68"/>
        <v>143.38</v>
      </c>
      <c r="AT74" s="40">
        <f t="shared" si="69"/>
        <v>84.843863240635315</v>
      </c>
    </row>
    <row r="75" spans="17:46" x14ac:dyDescent="0.25">
      <c r="Q75">
        <v>68</v>
      </c>
      <c r="R75" s="39">
        <f t="shared" si="45"/>
        <v>53.5</v>
      </c>
      <c r="S75" s="37">
        <f t="shared" si="46"/>
        <v>2.72</v>
      </c>
      <c r="T75" s="37">
        <f t="shared" si="47"/>
        <v>15</v>
      </c>
      <c r="U75" s="40">
        <f t="shared" si="48"/>
        <v>10.779259259259261</v>
      </c>
      <c r="V75" s="39">
        <f t="shared" si="49"/>
        <v>2</v>
      </c>
      <c r="W75" s="37">
        <f t="shared" si="50"/>
        <v>0.71962616822429903</v>
      </c>
      <c r="X75" s="40">
        <f t="shared" si="51"/>
        <v>0.28037383177570097</v>
      </c>
      <c r="Y75" s="39">
        <f t="shared" si="52"/>
        <v>13.629283489096572</v>
      </c>
      <c r="Z75" s="37">
        <f t="shared" si="28"/>
        <v>17.593901003807545</v>
      </c>
      <c r="AA75" s="37">
        <f t="shared" si="29"/>
        <v>11.474851235659074</v>
      </c>
      <c r="AB75" s="37">
        <v>0</v>
      </c>
      <c r="AC75" s="37">
        <f t="shared" si="53"/>
        <v>0.26334442176101319</v>
      </c>
      <c r="AD75" s="40">
        <f t="shared" si="62"/>
        <v>0.26334442176101319</v>
      </c>
      <c r="AE75" s="39">
        <f t="shared" si="70"/>
        <v>7.7570370370370378</v>
      </c>
      <c r="AF75" s="37">
        <f t="shared" si="63"/>
        <v>9.7342061092603114</v>
      </c>
      <c r="AG75" s="37">
        <f t="shared" si="54"/>
        <v>0</v>
      </c>
      <c r="AH75" s="37">
        <f t="shared" si="55"/>
        <v>22.208339308462616</v>
      </c>
      <c r="AI75" s="40">
        <f t="shared" si="64"/>
        <v>22.208339308462616</v>
      </c>
      <c r="AJ75" s="39">
        <f t="shared" si="65"/>
        <v>3.022222222222223</v>
      </c>
      <c r="AK75" s="37">
        <f t="shared" si="56"/>
        <v>6.075972539680027</v>
      </c>
      <c r="AL75" s="37">
        <f t="shared" si="57"/>
        <v>1.5776000000000001</v>
      </c>
      <c r="AM75" s="37">
        <f t="shared" si="58"/>
        <v>1.1897599999999999</v>
      </c>
      <c r="AN75" s="40">
        <f t="shared" si="66"/>
        <v>2.76736</v>
      </c>
      <c r="AO75" s="39">
        <f t="shared" si="59"/>
        <v>0.14213215286634115</v>
      </c>
      <c r="AP75" s="37">
        <f t="shared" si="60"/>
        <v>0.58509</v>
      </c>
      <c r="AQ75" s="40">
        <f t="shared" si="61"/>
        <v>6.7499999999999999E-3</v>
      </c>
      <c r="AR75" s="39">
        <f t="shared" si="67"/>
        <v>25.973015883089971</v>
      </c>
      <c r="AS75" s="37">
        <f t="shared" si="68"/>
        <v>145.52000000000001</v>
      </c>
      <c r="AT75" s="40">
        <f t="shared" si="69"/>
        <v>84.854767554617922</v>
      </c>
    </row>
    <row r="76" spans="17:46" x14ac:dyDescent="0.25">
      <c r="Q76">
        <v>69</v>
      </c>
      <c r="R76" s="39">
        <f t="shared" si="45"/>
        <v>53.5</v>
      </c>
      <c r="S76" s="37">
        <f t="shared" si="46"/>
        <v>2.7600000000000002</v>
      </c>
      <c r="T76" s="37">
        <f t="shared" si="47"/>
        <v>15</v>
      </c>
      <c r="U76" s="40">
        <f t="shared" si="48"/>
        <v>10.93777777777778</v>
      </c>
      <c r="V76" s="39">
        <f t="shared" si="49"/>
        <v>2</v>
      </c>
      <c r="W76" s="37">
        <f t="shared" si="50"/>
        <v>0.71962616822429903</v>
      </c>
      <c r="X76" s="40">
        <f t="shared" si="51"/>
        <v>0.28037383177570097</v>
      </c>
      <c r="Y76" s="39">
        <f t="shared" si="52"/>
        <v>13.629283489096572</v>
      </c>
      <c r="Z76" s="37">
        <f t="shared" si="28"/>
        <v>17.752419522326065</v>
      </c>
      <c r="AA76" s="37">
        <f t="shared" si="29"/>
        <v>11.623887620681364</v>
      </c>
      <c r="AB76" s="37">
        <v>0</v>
      </c>
      <c r="AC76" s="37">
        <f t="shared" si="53"/>
        <v>0.27022952683645896</v>
      </c>
      <c r="AD76" s="40">
        <f t="shared" si="62"/>
        <v>0.27022952683645896</v>
      </c>
      <c r="AE76" s="39">
        <f t="shared" si="70"/>
        <v>7.8711111111111123</v>
      </c>
      <c r="AF76" s="37">
        <f t="shared" si="63"/>
        <v>9.8606348410836695</v>
      </c>
      <c r="AG76" s="37">
        <f t="shared" si="54"/>
        <v>0</v>
      </c>
      <c r="AH76" s="37">
        <f t="shared" si="55"/>
        <v>22.534932533587067</v>
      </c>
      <c r="AI76" s="40">
        <f t="shared" si="64"/>
        <v>22.534932533587067</v>
      </c>
      <c r="AJ76" s="39">
        <f t="shared" si="65"/>
        <v>3.0666666666666678</v>
      </c>
      <c r="AK76" s="37">
        <f t="shared" si="56"/>
        <v>6.1548878096222275</v>
      </c>
      <c r="AL76" s="37">
        <f t="shared" si="57"/>
        <v>1.6008</v>
      </c>
      <c r="AM76" s="37">
        <f t="shared" si="58"/>
        <v>1.1897599999999999</v>
      </c>
      <c r="AN76" s="40">
        <f t="shared" si="66"/>
        <v>2.7905600000000002</v>
      </c>
      <c r="AO76" s="39">
        <f t="shared" si="59"/>
        <v>0.14584817920378976</v>
      </c>
      <c r="AP76" s="37">
        <f t="shared" si="60"/>
        <v>0.58509</v>
      </c>
      <c r="AQ76" s="40">
        <f t="shared" si="61"/>
        <v>6.7499999999999999E-3</v>
      </c>
      <c r="AR76" s="39">
        <f t="shared" si="67"/>
        <v>26.333410239627316</v>
      </c>
      <c r="AS76" s="37">
        <f t="shared" si="68"/>
        <v>147.66000000000003</v>
      </c>
      <c r="AT76" s="40">
        <f t="shared" si="69"/>
        <v>84.865282999304171</v>
      </c>
    </row>
    <row r="77" spans="17:46" x14ac:dyDescent="0.25">
      <c r="Q77">
        <v>70</v>
      </c>
      <c r="R77" s="39">
        <f t="shared" si="45"/>
        <v>53.5</v>
      </c>
      <c r="S77" s="37">
        <f t="shared" si="46"/>
        <v>2.8000000000000003</v>
      </c>
      <c r="T77" s="37">
        <f t="shared" si="47"/>
        <v>15</v>
      </c>
      <c r="U77" s="40">
        <f t="shared" si="48"/>
        <v>11.096296296296297</v>
      </c>
      <c r="V77" s="39">
        <f t="shared" si="49"/>
        <v>2</v>
      </c>
      <c r="W77" s="37">
        <f t="shared" si="50"/>
        <v>0.71962616822429903</v>
      </c>
      <c r="X77" s="40">
        <f t="shared" si="51"/>
        <v>0.28037383177570097</v>
      </c>
      <c r="Y77" s="39">
        <f t="shared" si="52"/>
        <v>13.629283489096572</v>
      </c>
      <c r="Z77" s="37">
        <f t="shared" si="28"/>
        <v>17.910938040844584</v>
      </c>
      <c r="AA77" s="37">
        <f t="shared" si="29"/>
        <v>11.773171713577398</v>
      </c>
      <c r="AB77" s="37">
        <v>0</v>
      </c>
      <c r="AC77" s="37">
        <f t="shared" si="53"/>
        <v>0.27721514439475797</v>
      </c>
      <c r="AD77" s="40">
        <f t="shared" si="62"/>
        <v>0.27721514439475797</v>
      </c>
      <c r="AE77" s="39">
        <f t="shared" si="70"/>
        <v>7.9851851851851849</v>
      </c>
      <c r="AF77" s="37">
        <f t="shared" si="63"/>
        <v>9.9872737054349674</v>
      </c>
      <c r="AG77" s="37">
        <f t="shared" si="54"/>
        <v>0</v>
      </c>
      <c r="AH77" s="37">
        <f t="shared" si="55"/>
        <v>22.861525758711515</v>
      </c>
      <c r="AI77" s="40">
        <f t="shared" si="64"/>
        <v>22.861525758711515</v>
      </c>
      <c r="AJ77" s="39">
        <f t="shared" si="65"/>
        <v>3.1111111111111116</v>
      </c>
      <c r="AK77" s="37">
        <f t="shared" si="56"/>
        <v>6.233934241721375</v>
      </c>
      <c r="AL77" s="37">
        <f t="shared" si="57"/>
        <v>1.6240000000000001</v>
      </c>
      <c r="AM77" s="37">
        <f t="shared" si="58"/>
        <v>1.1897599999999999</v>
      </c>
      <c r="AN77" s="40">
        <f t="shared" si="66"/>
        <v>2.8137600000000003</v>
      </c>
      <c r="AO77" s="39">
        <f t="shared" si="59"/>
        <v>0.14961845410090904</v>
      </c>
      <c r="AP77" s="37">
        <f t="shared" si="60"/>
        <v>0.58509</v>
      </c>
      <c r="AQ77" s="40">
        <f t="shared" si="61"/>
        <v>6.7499999999999999E-3</v>
      </c>
      <c r="AR77" s="39">
        <f t="shared" si="67"/>
        <v>26.693959357207184</v>
      </c>
      <c r="AS77" s="37">
        <f t="shared" si="68"/>
        <v>149.80000000000001</v>
      </c>
      <c r="AT77" s="40">
        <f t="shared" si="69"/>
        <v>84.875426074395492</v>
      </c>
    </row>
    <row r="78" spans="17:46" x14ac:dyDescent="0.25">
      <c r="Q78">
        <v>71</v>
      </c>
      <c r="R78" s="39">
        <f t="shared" si="45"/>
        <v>53.5</v>
      </c>
      <c r="S78" s="37">
        <f t="shared" si="46"/>
        <v>2.84</v>
      </c>
      <c r="T78" s="37">
        <f t="shared" si="47"/>
        <v>15</v>
      </c>
      <c r="U78" s="40">
        <f t="shared" si="48"/>
        <v>11.254814814814814</v>
      </c>
      <c r="V78" s="39">
        <f t="shared" si="49"/>
        <v>2</v>
      </c>
      <c r="W78" s="37">
        <f t="shared" si="50"/>
        <v>0.71962616822429903</v>
      </c>
      <c r="X78" s="40">
        <f t="shared" si="51"/>
        <v>0.28037383177570097</v>
      </c>
      <c r="Y78" s="39">
        <f t="shared" si="52"/>
        <v>13.629283489096572</v>
      </c>
      <c r="Z78" s="37">
        <f t="shared" si="28"/>
        <v>18.0694565593631</v>
      </c>
      <c r="AA78" s="37">
        <f t="shared" si="29"/>
        <v>11.922694209697532</v>
      </c>
      <c r="AB78" s="37">
        <v>0</v>
      </c>
      <c r="AC78" s="37">
        <f t="shared" si="53"/>
        <v>0.28430127443591013</v>
      </c>
      <c r="AD78" s="40">
        <f t="shared" si="62"/>
        <v>0.28430127443591013</v>
      </c>
      <c r="AE78" s="39">
        <f t="shared" si="70"/>
        <v>8.0992592592592594</v>
      </c>
      <c r="AF78" s="37">
        <f t="shared" si="63"/>
        <v>10.114114809107093</v>
      </c>
      <c r="AG78" s="37">
        <f t="shared" si="54"/>
        <v>0</v>
      </c>
      <c r="AH78" s="37">
        <f t="shared" si="55"/>
        <v>23.188118983835963</v>
      </c>
      <c r="AI78" s="40">
        <f t="shared" si="64"/>
        <v>23.188118983835963</v>
      </c>
      <c r="AJ78" s="39">
        <f t="shared" si="65"/>
        <v>3.1555555555555559</v>
      </c>
      <c r="AK78" s="37">
        <f t="shared" si="56"/>
        <v>6.3131069091340146</v>
      </c>
      <c r="AL78" s="37">
        <f t="shared" si="57"/>
        <v>1.6471999999999998</v>
      </c>
      <c r="AM78" s="37">
        <f t="shared" si="58"/>
        <v>1.1897599999999999</v>
      </c>
      <c r="AN78" s="40">
        <f t="shared" si="66"/>
        <v>2.8369599999999995</v>
      </c>
      <c r="AO78" s="39">
        <f t="shared" si="59"/>
        <v>0.15344297755769912</v>
      </c>
      <c r="AP78" s="37">
        <f t="shared" si="60"/>
        <v>0.58509</v>
      </c>
      <c r="AQ78" s="40">
        <f t="shared" si="61"/>
        <v>6.7499999999999999E-3</v>
      </c>
      <c r="AR78" s="39">
        <f t="shared" si="67"/>
        <v>27.054663235829576</v>
      </c>
      <c r="AS78" s="37">
        <f t="shared" si="68"/>
        <v>151.94</v>
      </c>
      <c r="AT78" s="40">
        <f t="shared" si="69"/>
        <v>84.885212359552625</v>
      </c>
    </row>
    <row r="79" spans="17:46" x14ac:dyDescent="0.25">
      <c r="Q79">
        <v>72</v>
      </c>
      <c r="R79" s="39">
        <f t="shared" si="45"/>
        <v>53.5</v>
      </c>
      <c r="S79" s="37">
        <f t="shared" si="46"/>
        <v>2.88</v>
      </c>
      <c r="T79" s="37">
        <f t="shared" si="47"/>
        <v>15</v>
      </c>
      <c r="U79" s="40">
        <f t="shared" si="48"/>
        <v>11.413333333333332</v>
      </c>
      <c r="V79" s="39">
        <f t="shared" si="49"/>
        <v>2</v>
      </c>
      <c r="W79" s="37">
        <f t="shared" si="50"/>
        <v>0.71962616822429903</v>
      </c>
      <c r="X79" s="40">
        <f t="shared" si="51"/>
        <v>0.28037383177570097</v>
      </c>
      <c r="Y79" s="39">
        <f t="shared" si="52"/>
        <v>13.629283489096572</v>
      </c>
      <c r="Z79" s="37">
        <f t="shared" si="28"/>
        <v>18.227975077881617</v>
      </c>
      <c r="AA79" s="37">
        <f t="shared" si="29"/>
        <v>12.072446250862241</v>
      </c>
      <c r="AB79" s="37">
        <v>0</v>
      </c>
      <c r="AC79" s="37">
        <f t="shared" si="53"/>
        <v>0.29148791695991555</v>
      </c>
      <c r="AD79" s="40">
        <f t="shared" si="62"/>
        <v>0.29148791695991555</v>
      </c>
      <c r="AE79" s="39">
        <f t="shared" si="70"/>
        <v>8.2133333333333329</v>
      </c>
      <c r="AF79" s="37">
        <f t="shared" si="63"/>
        <v>10.241150637637027</v>
      </c>
      <c r="AG79" s="37">
        <f t="shared" si="54"/>
        <v>0</v>
      </c>
      <c r="AH79" s="37">
        <f t="shared" si="55"/>
        <v>23.514712208960407</v>
      </c>
      <c r="AI79" s="40">
        <f t="shared" si="64"/>
        <v>23.514712208960407</v>
      </c>
      <c r="AJ79" s="39">
        <f t="shared" si="65"/>
        <v>3.2</v>
      </c>
      <c r="AK79" s="37">
        <f t="shared" si="56"/>
        <v>6.3924011214241245</v>
      </c>
      <c r="AL79" s="37">
        <f t="shared" si="57"/>
        <v>1.6703999999999999</v>
      </c>
      <c r="AM79" s="37">
        <f t="shared" si="58"/>
        <v>1.1897599999999999</v>
      </c>
      <c r="AN79" s="40">
        <f t="shared" si="66"/>
        <v>2.8601599999999996</v>
      </c>
      <c r="AO79" s="39">
        <f t="shared" si="59"/>
        <v>0.15732174957415992</v>
      </c>
      <c r="AP79" s="37">
        <f t="shared" si="60"/>
        <v>0.58509</v>
      </c>
      <c r="AQ79" s="40">
        <f t="shared" si="61"/>
        <v>6.7499999999999999E-3</v>
      </c>
      <c r="AR79" s="39">
        <f t="shared" si="67"/>
        <v>27.415521875494484</v>
      </c>
      <c r="AS79" s="37">
        <f t="shared" si="68"/>
        <v>154.07999999999998</v>
      </c>
      <c r="AT79" s="40">
        <f t="shared" si="69"/>
        <v>84.894656577641911</v>
      </c>
    </row>
    <row r="80" spans="17:46" x14ac:dyDescent="0.25">
      <c r="Q80">
        <v>73</v>
      </c>
      <c r="R80" s="39">
        <f t="shared" si="45"/>
        <v>53.5</v>
      </c>
      <c r="S80" s="37">
        <f t="shared" si="46"/>
        <v>2.92</v>
      </c>
      <c r="T80" s="37">
        <f t="shared" si="47"/>
        <v>15</v>
      </c>
      <c r="U80" s="40">
        <f t="shared" si="48"/>
        <v>11.571851851851852</v>
      </c>
      <c r="V80" s="39">
        <f t="shared" si="49"/>
        <v>2</v>
      </c>
      <c r="W80" s="37">
        <f t="shared" si="50"/>
        <v>0.71962616822429903</v>
      </c>
      <c r="X80" s="40">
        <f t="shared" si="51"/>
        <v>0.28037383177570097</v>
      </c>
      <c r="Y80" s="39">
        <f t="shared" si="52"/>
        <v>13.629283489096572</v>
      </c>
      <c r="Z80" s="37">
        <f t="shared" ref="Z80:Z143" si="71">CHOOSE(V80,Y80,U80+(0.5*Y80))</f>
        <v>18.386493596400136</v>
      </c>
      <c r="AA80" s="37">
        <f t="shared" ref="AA80:AA143" si="72">CHOOSE(V80,Z80*SQRT((W80+X80)/3),SQRT((U80^2)+((Y80^2)/12)))</f>
        <v>12.222419399750082</v>
      </c>
      <c r="AB80" s="37">
        <v>0</v>
      </c>
      <c r="AC80" s="37">
        <f t="shared" si="53"/>
        <v>0.29877507196677433</v>
      </c>
      <c r="AD80" s="40">
        <f t="shared" si="62"/>
        <v>0.29877507196677433</v>
      </c>
      <c r="AE80" s="39">
        <f t="shared" si="70"/>
        <v>8.3274074074074065</v>
      </c>
      <c r="AF80" s="37">
        <f t="shared" si="63"/>
        <v>10.368374033578961</v>
      </c>
      <c r="AG80" s="37">
        <f t="shared" si="54"/>
        <v>0</v>
      </c>
      <c r="AH80" s="37">
        <f t="shared" si="55"/>
        <v>23.841305434084866</v>
      </c>
      <c r="AI80" s="40">
        <f t="shared" si="64"/>
        <v>23.841305434084866</v>
      </c>
      <c r="AJ80" s="39">
        <f t="shared" si="65"/>
        <v>3.2444444444444449</v>
      </c>
      <c r="AK80" s="37">
        <f t="shared" si="56"/>
        <v>6.4718124110014692</v>
      </c>
      <c r="AL80" s="37">
        <f t="shared" si="57"/>
        <v>1.6935999999999998</v>
      </c>
      <c r="AM80" s="37">
        <f t="shared" si="58"/>
        <v>1.1897599999999999</v>
      </c>
      <c r="AN80" s="40">
        <f t="shared" si="66"/>
        <v>2.8833599999999997</v>
      </c>
      <c r="AO80" s="39">
        <f t="shared" si="59"/>
        <v>0.16125477015029169</v>
      </c>
      <c r="AP80" s="37">
        <f t="shared" si="60"/>
        <v>0.58509</v>
      </c>
      <c r="AQ80" s="40">
        <f t="shared" si="61"/>
        <v>6.7499999999999999E-3</v>
      </c>
      <c r="AR80" s="39">
        <f t="shared" si="67"/>
        <v>27.77653527620193</v>
      </c>
      <c r="AS80" s="37">
        <f t="shared" si="68"/>
        <v>156.22</v>
      </c>
      <c r="AT80" s="40">
        <f t="shared" si="69"/>
        <v>84.903772652835087</v>
      </c>
    </row>
    <row r="81" spans="17:46" x14ac:dyDescent="0.25">
      <c r="Q81">
        <v>74</v>
      </c>
      <c r="R81" s="39">
        <f t="shared" si="45"/>
        <v>53.5</v>
      </c>
      <c r="S81" s="37">
        <f t="shared" si="46"/>
        <v>2.96</v>
      </c>
      <c r="T81" s="37">
        <f t="shared" si="47"/>
        <v>15</v>
      </c>
      <c r="U81" s="40">
        <f t="shared" si="48"/>
        <v>11.73037037037037</v>
      </c>
      <c r="V81" s="39">
        <f t="shared" si="49"/>
        <v>2</v>
      </c>
      <c r="W81" s="37">
        <f t="shared" si="50"/>
        <v>0.71962616822429903</v>
      </c>
      <c r="X81" s="40">
        <f t="shared" si="51"/>
        <v>0.28037383177570097</v>
      </c>
      <c r="Y81" s="39">
        <f t="shared" si="52"/>
        <v>13.629283489096572</v>
      </c>
      <c r="Z81" s="37">
        <f t="shared" si="71"/>
        <v>18.545012114918656</v>
      </c>
      <c r="AA81" s="37">
        <f t="shared" si="72"/>
        <v>12.372605615966394</v>
      </c>
      <c r="AB81" s="37">
        <v>0</v>
      </c>
      <c r="AC81" s="37">
        <f t="shared" si="53"/>
        <v>0.30616273945648637</v>
      </c>
      <c r="AD81" s="40">
        <f t="shared" si="62"/>
        <v>0.30616273945648637</v>
      </c>
      <c r="AE81" s="39">
        <f t="shared" si="70"/>
        <v>8.44148148148148</v>
      </c>
      <c r="AF81" s="37">
        <f t="shared" si="63"/>
        <v>10.495778176203171</v>
      </c>
      <c r="AG81" s="37">
        <f t="shared" si="54"/>
        <v>0</v>
      </c>
      <c r="AH81" s="37">
        <f t="shared" si="55"/>
        <v>24.16789865920931</v>
      </c>
      <c r="AI81" s="40">
        <f t="shared" si="64"/>
        <v>24.16789865920931</v>
      </c>
      <c r="AJ81" s="39">
        <f t="shared" si="65"/>
        <v>3.2888888888888892</v>
      </c>
      <c r="AK81" s="37">
        <f t="shared" si="56"/>
        <v>6.5513365204498779</v>
      </c>
      <c r="AL81" s="37">
        <f t="shared" si="57"/>
        <v>1.7167999999999999</v>
      </c>
      <c r="AM81" s="37">
        <f t="shared" si="58"/>
        <v>1.1897599999999999</v>
      </c>
      <c r="AN81" s="40">
        <f t="shared" si="66"/>
        <v>2.9065599999999998</v>
      </c>
      <c r="AO81" s="39">
        <f t="shared" si="59"/>
        <v>0.16524203928609416</v>
      </c>
      <c r="AP81" s="37">
        <f t="shared" si="60"/>
        <v>0.58509</v>
      </c>
      <c r="AQ81" s="40">
        <f t="shared" si="61"/>
        <v>6.7499999999999999E-3</v>
      </c>
      <c r="AR81" s="39">
        <f t="shared" si="67"/>
        <v>28.137703437951892</v>
      </c>
      <c r="AS81" s="37">
        <f t="shared" si="68"/>
        <v>158.35999999999999</v>
      </c>
      <c r="AT81" s="40">
        <f t="shared" si="69"/>
        <v>84.912573764044581</v>
      </c>
    </row>
    <row r="82" spans="17:46" x14ac:dyDescent="0.25">
      <c r="Q82">
        <v>75</v>
      </c>
      <c r="R82" s="39">
        <f t="shared" si="45"/>
        <v>53.5</v>
      </c>
      <c r="S82" s="37">
        <f t="shared" si="46"/>
        <v>3</v>
      </c>
      <c r="T82" s="37">
        <f t="shared" si="47"/>
        <v>15</v>
      </c>
      <c r="U82" s="40">
        <f t="shared" si="48"/>
        <v>11.888888888888889</v>
      </c>
      <c r="V82" s="39">
        <f t="shared" si="49"/>
        <v>2</v>
      </c>
      <c r="W82" s="37">
        <f t="shared" si="50"/>
        <v>0.71962616822429903</v>
      </c>
      <c r="X82" s="40">
        <f t="shared" si="51"/>
        <v>0.28037383177570097</v>
      </c>
      <c r="Y82" s="39">
        <f t="shared" si="52"/>
        <v>13.629283489096572</v>
      </c>
      <c r="Z82" s="37">
        <f t="shared" si="71"/>
        <v>18.703530633437175</v>
      </c>
      <c r="AA82" s="37">
        <f t="shared" si="72"/>
        <v>12.522997233670768</v>
      </c>
      <c r="AB82" s="37">
        <v>0</v>
      </c>
      <c r="AC82" s="37">
        <f t="shared" si="53"/>
        <v>0.31365091942905143</v>
      </c>
      <c r="AD82" s="40">
        <f t="shared" si="62"/>
        <v>0.31365091942905143</v>
      </c>
      <c r="AE82" s="39">
        <f t="shared" si="70"/>
        <v>8.5555555555555554</v>
      </c>
      <c r="AF82" s="37">
        <f t="shared" si="63"/>
        <v>10.62335656251725</v>
      </c>
      <c r="AG82" s="37">
        <f t="shared" si="54"/>
        <v>0</v>
      </c>
      <c r="AH82" s="37">
        <f t="shared" si="55"/>
        <v>24.494491884333762</v>
      </c>
      <c r="AI82" s="40">
        <f t="shared" si="64"/>
        <v>24.494491884333762</v>
      </c>
      <c r="AJ82" s="39">
        <f t="shared" si="65"/>
        <v>3.3333333333333339</v>
      </c>
      <c r="AK82" s="37">
        <f t="shared" si="56"/>
        <v>6.6309693906809288</v>
      </c>
      <c r="AL82" s="37">
        <f t="shared" si="57"/>
        <v>1.7399999999999998</v>
      </c>
      <c r="AM82" s="37">
        <f t="shared" si="58"/>
        <v>1.1897599999999999</v>
      </c>
      <c r="AN82" s="40">
        <f t="shared" si="66"/>
        <v>2.9297599999999999</v>
      </c>
      <c r="AO82" s="39">
        <f t="shared" si="59"/>
        <v>0.16928355698156747</v>
      </c>
      <c r="AP82" s="37">
        <f t="shared" si="60"/>
        <v>0.58509</v>
      </c>
      <c r="AQ82" s="40">
        <f t="shared" si="61"/>
        <v>6.7499999999999999E-3</v>
      </c>
      <c r="AR82" s="39">
        <f t="shared" si="67"/>
        <v>28.499026360744381</v>
      </c>
      <c r="AS82" s="37">
        <f t="shared" si="68"/>
        <v>160.5</v>
      </c>
      <c r="AT82" s="40">
        <f t="shared" si="69"/>
        <v>84.92107239412546</v>
      </c>
    </row>
    <row r="83" spans="17:46" x14ac:dyDescent="0.25">
      <c r="Q83">
        <v>76</v>
      </c>
      <c r="R83" s="39">
        <f t="shared" si="45"/>
        <v>53.5</v>
      </c>
      <c r="S83" s="37">
        <f t="shared" si="46"/>
        <v>3.04</v>
      </c>
      <c r="T83" s="37">
        <f t="shared" si="47"/>
        <v>15</v>
      </c>
      <c r="U83" s="40">
        <f t="shared" si="48"/>
        <v>12.047407407407409</v>
      </c>
      <c r="V83" s="39">
        <f t="shared" si="49"/>
        <v>2</v>
      </c>
      <c r="W83" s="37">
        <f t="shared" si="50"/>
        <v>0.71962616822429903</v>
      </c>
      <c r="X83" s="40">
        <f t="shared" si="51"/>
        <v>0.28037383177570097</v>
      </c>
      <c r="Y83" s="39">
        <f t="shared" si="52"/>
        <v>13.629283489096572</v>
      </c>
      <c r="Z83" s="37">
        <f t="shared" si="71"/>
        <v>18.862049151955695</v>
      </c>
      <c r="AA83" s="37">
        <f t="shared" si="72"/>
        <v>12.673586940650818</v>
      </c>
      <c r="AB83" s="37">
        <v>0</v>
      </c>
      <c r="AC83" s="37">
        <f t="shared" si="53"/>
        <v>0.32123961188446992</v>
      </c>
      <c r="AD83" s="40">
        <f t="shared" si="62"/>
        <v>0.32123961188446992</v>
      </c>
      <c r="AE83" s="39">
        <f t="shared" si="70"/>
        <v>8.6696296296296307</v>
      </c>
      <c r="AF83" s="37">
        <f t="shared" si="63"/>
        <v>10.751102989514193</v>
      </c>
      <c r="AG83" s="37">
        <f t="shared" si="54"/>
        <v>0</v>
      </c>
      <c r="AH83" s="37">
        <f t="shared" si="55"/>
        <v>24.82108510945822</v>
      </c>
      <c r="AI83" s="40">
        <f t="shared" si="64"/>
        <v>24.82108510945822</v>
      </c>
      <c r="AJ83" s="39">
        <f t="shared" si="65"/>
        <v>3.3777777777777787</v>
      </c>
      <c r="AK83" s="37">
        <f t="shared" si="56"/>
        <v>6.7107071498534268</v>
      </c>
      <c r="AL83" s="37">
        <f t="shared" si="57"/>
        <v>1.7631999999999999</v>
      </c>
      <c r="AM83" s="37">
        <f t="shared" si="58"/>
        <v>1.1897599999999999</v>
      </c>
      <c r="AN83" s="40">
        <f t="shared" si="66"/>
        <v>2.95296</v>
      </c>
      <c r="AO83" s="39">
        <f t="shared" si="59"/>
        <v>0.17337932323671154</v>
      </c>
      <c r="AP83" s="37">
        <f t="shared" si="60"/>
        <v>0.58509</v>
      </c>
      <c r="AQ83" s="40">
        <f t="shared" si="61"/>
        <v>6.7499999999999999E-3</v>
      </c>
      <c r="AR83" s="39">
        <f t="shared" si="67"/>
        <v>28.8605040445794</v>
      </c>
      <c r="AS83" s="37">
        <f t="shared" si="68"/>
        <v>162.64000000000001</v>
      </c>
      <c r="AT83" s="40">
        <f t="shared" si="69"/>
        <v>84.929280375230249</v>
      </c>
    </row>
    <row r="84" spans="17:46" x14ac:dyDescent="0.25">
      <c r="Q84">
        <v>77</v>
      </c>
      <c r="R84" s="39">
        <f t="shared" si="45"/>
        <v>53.5</v>
      </c>
      <c r="S84" s="37">
        <f t="shared" si="46"/>
        <v>3.08</v>
      </c>
      <c r="T84" s="37">
        <f t="shared" si="47"/>
        <v>15</v>
      </c>
      <c r="U84" s="40">
        <f t="shared" si="48"/>
        <v>12.205925925925927</v>
      </c>
      <c r="V84" s="39">
        <f t="shared" si="49"/>
        <v>2</v>
      </c>
      <c r="W84" s="37">
        <f t="shared" si="50"/>
        <v>0.71962616822429903</v>
      </c>
      <c r="X84" s="40">
        <f t="shared" si="51"/>
        <v>0.28037383177570097</v>
      </c>
      <c r="Y84" s="39">
        <f t="shared" si="52"/>
        <v>13.629283489096572</v>
      </c>
      <c r="Z84" s="37">
        <f t="shared" si="71"/>
        <v>19.020567670474215</v>
      </c>
      <c r="AA84" s="37">
        <f t="shared" si="72"/>
        <v>12.82436775873847</v>
      </c>
      <c r="AB84" s="37">
        <v>0</v>
      </c>
      <c r="AC84" s="37">
        <f t="shared" si="53"/>
        <v>0.3289288168227415</v>
      </c>
      <c r="AD84" s="40">
        <f t="shared" si="62"/>
        <v>0.3289288168227415</v>
      </c>
      <c r="AE84" s="39">
        <f t="shared" si="70"/>
        <v>8.7837037037037042</v>
      </c>
      <c r="AF84" s="37">
        <f t="shared" si="63"/>
        <v>10.879011537559418</v>
      </c>
      <c r="AG84" s="37">
        <f t="shared" si="54"/>
        <v>0</v>
      </c>
      <c r="AH84" s="37">
        <f t="shared" si="55"/>
        <v>25.147678334582665</v>
      </c>
      <c r="AI84" s="40">
        <f t="shared" si="64"/>
        <v>25.147678334582665</v>
      </c>
      <c r="AJ84" s="39">
        <f t="shared" si="65"/>
        <v>3.4222222222222229</v>
      </c>
      <c r="AK84" s="37">
        <f t="shared" si="56"/>
        <v>6.7905461030037815</v>
      </c>
      <c r="AL84" s="37">
        <f t="shared" si="57"/>
        <v>1.7864</v>
      </c>
      <c r="AM84" s="37">
        <f t="shared" si="58"/>
        <v>1.1897599999999999</v>
      </c>
      <c r="AN84" s="40">
        <f t="shared" si="66"/>
        <v>2.9761600000000001</v>
      </c>
      <c r="AO84" s="39">
        <f t="shared" si="59"/>
        <v>0.1775293380515264</v>
      </c>
      <c r="AP84" s="37">
        <f t="shared" si="60"/>
        <v>0.58509</v>
      </c>
      <c r="AQ84" s="40">
        <f t="shared" si="61"/>
        <v>6.7499999999999999E-3</v>
      </c>
      <c r="AR84" s="39">
        <f t="shared" si="67"/>
        <v>29.222136489456936</v>
      </c>
      <c r="AS84" s="37">
        <f t="shared" si="68"/>
        <v>164.78</v>
      </c>
      <c r="AT84" s="40">
        <f t="shared" si="69"/>
        <v>84.937208930662976</v>
      </c>
    </row>
    <row r="85" spans="17:46" x14ac:dyDescent="0.25">
      <c r="Q85">
        <v>78</v>
      </c>
      <c r="R85" s="39">
        <f t="shared" si="45"/>
        <v>53.5</v>
      </c>
      <c r="S85" s="37">
        <f t="shared" si="46"/>
        <v>3.12</v>
      </c>
      <c r="T85" s="37">
        <f t="shared" si="47"/>
        <v>15</v>
      </c>
      <c r="U85" s="40">
        <f t="shared" si="48"/>
        <v>12.364444444444446</v>
      </c>
      <c r="V85" s="39">
        <f t="shared" si="49"/>
        <v>2</v>
      </c>
      <c r="W85" s="37">
        <f t="shared" si="50"/>
        <v>0.71962616822429903</v>
      </c>
      <c r="X85" s="40">
        <f t="shared" si="51"/>
        <v>0.28037383177570097</v>
      </c>
      <c r="Y85" s="39">
        <f t="shared" si="52"/>
        <v>13.629283489096572</v>
      </c>
      <c r="Z85" s="37">
        <f t="shared" si="71"/>
        <v>19.179086188992734</v>
      </c>
      <c r="AA85" s="37">
        <f t="shared" si="72"/>
        <v>12.975333025473109</v>
      </c>
      <c r="AB85" s="37">
        <v>0</v>
      </c>
      <c r="AC85" s="37">
        <f t="shared" si="53"/>
        <v>0.33671853424386627</v>
      </c>
      <c r="AD85" s="40">
        <f t="shared" si="62"/>
        <v>0.33671853424386627</v>
      </c>
      <c r="AE85" s="39">
        <f t="shared" si="70"/>
        <v>8.8977777777777796</v>
      </c>
      <c r="AF85" s="37">
        <f t="shared" si="63"/>
        <v>11.007076554835439</v>
      </c>
      <c r="AG85" s="37">
        <f t="shared" si="54"/>
        <v>0</v>
      </c>
      <c r="AH85" s="37">
        <f t="shared" si="55"/>
        <v>25.474271559707116</v>
      </c>
      <c r="AI85" s="40">
        <f t="shared" si="64"/>
        <v>25.474271559707116</v>
      </c>
      <c r="AJ85" s="39">
        <f t="shared" si="65"/>
        <v>3.4666666666666677</v>
      </c>
      <c r="AK85" s="37">
        <f t="shared" si="56"/>
        <v>6.8704827223365612</v>
      </c>
      <c r="AL85" s="37">
        <f t="shared" si="57"/>
        <v>1.8095999999999999</v>
      </c>
      <c r="AM85" s="37">
        <f t="shared" si="58"/>
        <v>1.1897599999999999</v>
      </c>
      <c r="AN85" s="40">
        <f t="shared" si="66"/>
        <v>2.9993599999999998</v>
      </c>
      <c r="AO85" s="39">
        <f t="shared" si="59"/>
        <v>0.181733601426012</v>
      </c>
      <c r="AP85" s="37">
        <f t="shared" si="60"/>
        <v>0.58509</v>
      </c>
      <c r="AQ85" s="40">
        <f t="shared" si="61"/>
        <v>6.7499999999999999E-3</v>
      </c>
      <c r="AR85" s="39">
        <f t="shared" si="67"/>
        <v>29.583923695376992</v>
      </c>
      <c r="AS85" s="37">
        <f t="shared" si="68"/>
        <v>166.92000000000002</v>
      </c>
      <c r="AT85" s="40">
        <f t="shared" si="69"/>
        <v>84.94486871354367</v>
      </c>
    </row>
    <row r="86" spans="17:46" x14ac:dyDescent="0.25">
      <c r="Q86">
        <v>79</v>
      </c>
      <c r="R86" s="39">
        <f t="shared" si="45"/>
        <v>53.5</v>
      </c>
      <c r="S86" s="37">
        <f t="shared" si="46"/>
        <v>3.16</v>
      </c>
      <c r="T86" s="37">
        <f t="shared" si="47"/>
        <v>15</v>
      </c>
      <c r="U86" s="40">
        <f t="shared" si="48"/>
        <v>12.522962962962962</v>
      </c>
      <c r="V86" s="39">
        <f t="shared" si="49"/>
        <v>2</v>
      </c>
      <c r="W86" s="37">
        <f t="shared" si="50"/>
        <v>0.71962616822429903</v>
      </c>
      <c r="X86" s="40">
        <f t="shared" si="51"/>
        <v>0.28037383177570097</v>
      </c>
      <c r="Y86" s="39">
        <f t="shared" si="52"/>
        <v>13.629283489096572</v>
      </c>
      <c r="Z86" s="37">
        <f t="shared" si="71"/>
        <v>19.337604707511247</v>
      </c>
      <c r="AA86" s="37">
        <f t="shared" si="72"/>
        <v>13.126476376923174</v>
      </c>
      <c r="AB86" s="37">
        <v>0</v>
      </c>
      <c r="AC86" s="37">
        <f t="shared" si="53"/>
        <v>0.3446087641478443</v>
      </c>
      <c r="AD86" s="40">
        <f t="shared" si="62"/>
        <v>0.3446087641478443</v>
      </c>
      <c r="AE86" s="39">
        <f t="shared" si="70"/>
        <v>9.0118518518518513</v>
      </c>
      <c r="AF86" s="37">
        <f t="shared" si="63"/>
        <v>11.135292642769302</v>
      </c>
      <c r="AG86" s="37">
        <f t="shared" si="54"/>
        <v>0</v>
      </c>
      <c r="AH86" s="37">
        <f t="shared" si="55"/>
        <v>25.800864784831564</v>
      </c>
      <c r="AI86" s="40">
        <f t="shared" si="64"/>
        <v>25.800864784831564</v>
      </c>
      <c r="AJ86" s="39">
        <f t="shared" si="65"/>
        <v>3.5111111111111115</v>
      </c>
      <c r="AK86" s="37">
        <f t="shared" si="56"/>
        <v>6.9505136381284762</v>
      </c>
      <c r="AL86" s="37">
        <f t="shared" si="57"/>
        <v>1.8328</v>
      </c>
      <c r="AM86" s="37">
        <f t="shared" si="58"/>
        <v>1.1897599999999999</v>
      </c>
      <c r="AN86" s="40">
        <f t="shared" si="66"/>
        <v>3.0225599999999999</v>
      </c>
      <c r="AO86" s="39">
        <f t="shared" si="59"/>
        <v>0.18599211336016824</v>
      </c>
      <c r="AP86" s="37">
        <f t="shared" si="60"/>
        <v>0.58509</v>
      </c>
      <c r="AQ86" s="40">
        <f t="shared" si="61"/>
        <v>6.7499999999999999E-3</v>
      </c>
      <c r="AR86" s="39">
        <f t="shared" si="67"/>
        <v>29.945865662339575</v>
      </c>
      <c r="AS86" s="37">
        <f t="shared" si="68"/>
        <v>169.06</v>
      </c>
      <c r="AT86" s="40">
        <f t="shared" si="69"/>
        <v>84.952269842563439</v>
      </c>
    </row>
    <row r="87" spans="17:46" x14ac:dyDescent="0.25">
      <c r="Q87">
        <v>80</v>
      </c>
      <c r="R87" s="39">
        <f t="shared" si="45"/>
        <v>53.5</v>
      </c>
      <c r="S87" s="37">
        <f t="shared" si="46"/>
        <v>3.2</v>
      </c>
      <c r="T87" s="37">
        <f t="shared" si="47"/>
        <v>15</v>
      </c>
      <c r="U87" s="40">
        <f t="shared" si="48"/>
        <v>12.681481481481482</v>
      </c>
      <c r="V87" s="39">
        <f t="shared" si="49"/>
        <v>2</v>
      </c>
      <c r="W87" s="37">
        <f t="shared" si="50"/>
        <v>0.71962616822429903</v>
      </c>
      <c r="X87" s="40">
        <f t="shared" si="51"/>
        <v>0.28037383177570097</v>
      </c>
      <c r="Y87" s="39">
        <f t="shared" si="52"/>
        <v>13.629283489096572</v>
      </c>
      <c r="Z87" s="37">
        <f t="shared" si="71"/>
        <v>19.496123226029766</v>
      </c>
      <c r="AA87" s="37">
        <f t="shared" si="72"/>
        <v>13.277791731584653</v>
      </c>
      <c r="AB87" s="37">
        <v>0</v>
      </c>
      <c r="AC87" s="37">
        <f t="shared" si="53"/>
        <v>0.35259950653467553</v>
      </c>
      <c r="AD87" s="40">
        <f t="shared" si="62"/>
        <v>0.35259950653467553</v>
      </c>
      <c r="AE87" s="39">
        <f t="shared" si="70"/>
        <v>9.1259259259259267</v>
      </c>
      <c r="AF87" s="37">
        <f t="shared" si="63"/>
        <v>11.263654642373568</v>
      </c>
      <c r="AG87" s="37">
        <f t="shared" si="54"/>
        <v>0</v>
      </c>
      <c r="AH87" s="37">
        <f t="shared" si="55"/>
        <v>26.127458009956015</v>
      </c>
      <c r="AI87" s="40">
        <f t="shared" si="64"/>
        <v>26.127458009956015</v>
      </c>
      <c r="AJ87" s="39">
        <f t="shared" si="65"/>
        <v>3.5555555555555562</v>
      </c>
      <c r="AK87" s="37">
        <f t="shared" si="56"/>
        <v>7.030635630202589</v>
      </c>
      <c r="AL87" s="37">
        <f t="shared" si="57"/>
        <v>1.8559999999999999</v>
      </c>
      <c r="AM87" s="37">
        <f t="shared" si="58"/>
        <v>1.1897599999999999</v>
      </c>
      <c r="AN87" s="40">
        <f t="shared" si="66"/>
        <v>3.0457599999999996</v>
      </c>
      <c r="AO87" s="39">
        <f t="shared" si="59"/>
        <v>0.19030487385399544</v>
      </c>
      <c r="AP87" s="37">
        <f t="shared" si="60"/>
        <v>0.58509</v>
      </c>
      <c r="AQ87" s="40">
        <f t="shared" si="61"/>
        <v>6.7499999999999999E-3</v>
      </c>
      <c r="AR87" s="39">
        <f t="shared" si="67"/>
        <v>30.307962390344688</v>
      </c>
      <c r="AS87" s="37">
        <f t="shared" si="68"/>
        <v>171.20000000000002</v>
      </c>
      <c r="AT87" s="40">
        <f t="shared" si="69"/>
        <v>84.959421935082347</v>
      </c>
    </row>
    <row r="88" spans="17:46" x14ac:dyDescent="0.25">
      <c r="Q88">
        <v>81</v>
      </c>
      <c r="R88" s="39">
        <f t="shared" si="45"/>
        <v>53.5</v>
      </c>
      <c r="S88" s="37">
        <f t="shared" si="46"/>
        <v>3.24</v>
      </c>
      <c r="T88" s="37">
        <f t="shared" si="47"/>
        <v>15</v>
      </c>
      <c r="U88" s="40">
        <f t="shared" si="48"/>
        <v>12.84</v>
      </c>
      <c r="V88" s="39">
        <f t="shared" si="49"/>
        <v>2</v>
      </c>
      <c r="W88" s="37">
        <f t="shared" si="50"/>
        <v>0.71962616822429903</v>
      </c>
      <c r="X88" s="40">
        <f t="shared" si="51"/>
        <v>0.28037383177570097</v>
      </c>
      <c r="Y88" s="39">
        <f t="shared" si="52"/>
        <v>13.629283489096572</v>
      </c>
      <c r="Z88" s="37">
        <f t="shared" si="71"/>
        <v>19.654641744548286</v>
      </c>
      <c r="AA88" s="37">
        <f t="shared" si="72"/>
        <v>13.429273275281131</v>
      </c>
      <c r="AB88" s="37">
        <v>0</v>
      </c>
      <c r="AC88" s="37">
        <f t="shared" si="53"/>
        <v>0.36069076140436002</v>
      </c>
      <c r="AD88" s="40">
        <f t="shared" si="62"/>
        <v>0.36069076140436002</v>
      </c>
      <c r="AE88" s="39">
        <f t="shared" si="70"/>
        <v>9.24</v>
      </c>
      <c r="AF88" s="37">
        <f t="shared" si="63"/>
        <v>11.392157621436874</v>
      </c>
      <c r="AG88" s="37">
        <f t="shared" si="54"/>
        <v>0</v>
      </c>
      <c r="AH88" s="37">
        <f t="shared" si="55"/>
        <v>26.45405123508046</v>
      </c>
      <c r="AI88" s="40">
        <f t="shared" si="64"/>
        <v>26.45405123508046</v>
      </c>
      <c r="AJ88" s="39">
        <f t="shared" si="65"/>
        <v>3.6000000000000005</v>
      </c>
      <c r="AK88" s="37">
        <f t="shared" si="56"/>
        <v>7.11084561993282</v>
      </c>
      <c r="AL88" s="37">
        <f t="shared" si="57"/>
        <v>1.8792</v>
      </c>
      <c r="AM88" s="37">
        <f t="shared" si="58"/>
        <v>1.1897599999999999</v>
      </c>
      <c r="AN88" s="40">
        <f t="shared" si="66"/>
        <v>3.0689599999999997</v>
      </c>
      <c r="AO88" s="39">
        <f t="shared" si="59"/>
        <v>0.1946718829074934</v>
      </c>
      <c r="AP88" s="37">
        <f t="shared" si="60"/>
        <v>0.58509</v>
      </c>
      <c r="AQ88" s="40">
        <f t="shared" si="61"/>
        <v>6.7499999999999999E-3</v>
      </c>
      <c r="AR88" s="39">
        <f t="shared" si="67"/>
        <v>30.670213879392314</v>
      </c>
      <c r="AS88" s="37">
        <f t="shared" si="68"/>
        <v>173.34</v>
      </c>
      <c r="AT88" s="40">
        <f t="shared" si="69"/>
        <v>84.966334137797588</v>
      </c>
    </row>
    <row r="89" spans="17:46" x14ac:dyDescent="0.25">
      <c r="Q89">
        <v>82</v>
      </c>
      <c r="R89" s="39">
        <f t="shared" si="45"/>
        <v>53.5</v>
      </c>
      <c r="S89" s="37">
        <f t="shared" si="46"/>
        <v>3.2800000000000002</v>
      </c>
      <c r="T89" s="37">
        <f t="shared" si="47"/>
        <v>15</v>
      </c>
      <c r="U89" s="40">
        <f t="shared" si="48"/>
        <v>12.998518518518519</v>
      </c>
      <c r="V89" s="39">
        <f t="shared" si="49"/>
        <v>2</v>
      </c>
      <c r="W89" s="37">
        <f t="shared" si="50"/>
        <v>0.71962616822429903</v>
      </c>
      <c r="X89" s="40">
        <f t="shared" si="51"/>
        <v>0.28037383177570097</v>
      </c>
      <c r="Y89" s="39">
        <f t="shared" si="52"/>
        <v>13.629283489096572</v>
      </c>
      <c r="Z89" s="37">
        <f t="shared" si="71"/>
        <v>19.813160263066806</v>
      </c>
      <c r="AA89" s="37">
        <f t="shared" si="72"/>
        <v>13.580915446995792</v>
      </c>
      <c r="AB89" s="37">
        <v>0</v>
      </c>
      <c r="AC89" s="37">
        <f t="shared" si="53"/>
        <v>0.36888252875689787</v>
      </c>
      <c r="AD89" s="40">
        <f t="shared" si="62"/>
        <v>0.36888252875689787</v>
      </c>
      <c r="AE89" s="39">
        <f t="shared" si="70"/>
        <v>9.3540740740740738</v>
      </c>
      <c r="AF89" s="37">
        <f t="shared" si="63"/>
        <v>11.520796862505133</v>
      </c>
      <c r="AG89" s="37">
        <f t="shared" si="54"/>
        <v>0</v>
      </c>
      <c r="AH89" s="37">
        <f t="shared" si="55"/>
        <v>26.780644460204918</v>
      </c>
      <c r="AI89" s="40">
        <f t="shared" si="64"/>
        <v>26.780644460204918</v>
      </c>
      <c r="AJ89" s="39">
        <f t="shared" si="65"/>
        <v>3.6444444444444453</v>
      </c>
      <c r="AK89" s="37">
        <f t="shared" si="56"/>
        <v>7.1911406627419563</v>
      </c>
      <c r="AL89" s="37">
        <f t="shared" si="57"/>
        <v>1.9024000000000001</v>
      </c>
      <c r="AM89" s="37">
        <f t="shared" si="58"/>
        <v>1.1897599999999999</v>
      </c>
      <c r="AN89" s="40">
        <f t="shared" si="66"/>
        <v>3.0921599999999998</v>
      </c>
      <c r="AO89" s="39">
        <f t="shared" si="59"/>
        <v>0.19909314052066215</v>
      </c>
      <c r="AP89" s="37">
        <f t="shared" si="60"/>
        <v>0.58509</v>
      </c>
      <c r="AQ89" s="40">
        <f t="shared" si="61"/>
        <v>6.7499999999999999E-3</v>
      </c>
      <c r="AR89" s="39">
        <f t="shared" si="67"/>
        <v>31.032620129482481</v>
      </c>
      <c r="AS89" s="37">
        <f t="shared" si="68"/>
        <v>175.48000000000002</v>
      </c>
      <c r="AT89" s="40">
        <f t="shared" si="69"/>
        <v>84.973015155187525</v>
      </c>
    </row>
    <row r="90" spans="17:46" x14ac:dyDescent="0.25">
      <c r="Q90">
        <v>83</v>
      </c>
      <c r="R90" s="39">
        <f t="shared" si="45"/>
        <v>53.5</v>
      </c>
      <c r="S90" s="37">
        <f t="shared" si="46"/>
        <v>3.3200000000000003</v>
      </c>
      <c r="T90" s="37">
        <f t="shared" si="47"/>
        <v>15</v>
      </c>
      <c r="U90" s="40">
        <f t="shared" si="48"/>
        <v>13.157037037037037</v>
      </c>
      <c r="V90" s="39">
        <f t="shared" si="49"/>
        <v>2</v>
      </c>
      <c r="W90" s="37">
        <f t="shared" si="50"/>
        <v>0.71962616822429903</v>
      </c>
      <c r="X90" s="40">
        <f t="shared" si="51"/>
        <v>0.28037383177570097</v>
      </c>
      <c r="Y90" s="39">
        <f t="shared" si="52"/>
        <v>13.629283489096572</v>
      </c>
      <c r="Z90" s="37">
        <f t="shared" si="71"/>
        <v>19.971678781585325</v>
      </c>
      <c r="AA90" s="37">
        <f t="shared" si="72"/>
        <v>13.732712925570985</v>
      </c>
      <c r="AB90" s="37">
        <v>0</v>
      </c>
      <c r="AC90" s="37">
        <f t="shared" si="53"/>
        <v>0.3771748085922888</v>
      </c>
      <c r="AD90" s="40">
        <f t="shared" si="62"/>
        <v>0.3771748085922888</v>
      </c>
      <c r="AE90" s="39">
        <f t="shared" si="70"/>
        <v>9.4681481481481473</v>
      </c>
      <c r="AF90" s="37">
        <f t="shared" si="63"/>
        <v>11.649567851598665</v>
      </c>
      <c r="AG90" s="37">
        <f t="shared" si="54"/>
        <v>0</v>
      </c>
      <c r="AH90" s="37">
        <f t="shared" si="55"/>
        <v>27.107237685329366</v>
      </c>
      <c r="AI90" s="40">
        <f t="shared" si="64"/>
        <v>27.107237685329366</v>
      </c>
      <c r="AJ90" s="39">
        <f t="shared" si="65"/>
        <v>3.6888888888888896</v>
      </c>
      <c r="AK90" s="37">
        <f t="shared" si="56"/>
        <v>7.2715179410590265</v>
      </c>
      <c r="AL90" s="37">
        <f t="shared" si="57"/>
        <v>1.9256</v>
      </c>
      <c r="AM90" s="37">
        <f t="shared" si="58"/>
        <v>1.1897599999999999</v>
      </c>
      <c r="AN90" s="40">
        <f t="shared" si="66"/>
        <v>3.1153599999999999</v>
      </c>
      <c r="AO90" s="39">
        <f t="shared" si="59"/>
        <v>0.20356864669350169</v>
      </c>
      <c r="AP90" s="37">
        <f t="shared" si="60"/>
        <v>0.58509</v>
      </c>
      <c r="AQ90" s="40">
        <f t="shared" si="61"/>
        <v>6.7499999999999999E-3</v>
      </c>
      <c r="AR90" s="39">
        <f t="shared" si="67"/>
        <v>31.395181140615158</v>
      </c>
      <c r="AS90" s="37">
        <f t="shared" si="68"/>
        <v>177.62</v>
      </c>
      <c r="AT90" s="40">
        <f t="shared" si="69"/>
        <v>84.979473275917684</v>
      </c>
    </row>
    <row r="91" spans="17:46" x14ac:dyDescent="0.25">
      <c r="Q91">
        <v>84</v>
      </c>
      <c r="R91" s="39">
        <f t="shared" si="45"/>
        <v>53.5</v>
      </c>
      <c r="S91" s="37">
        <f t="shared" si="46"/>
        <v>3.36</v>
      </c>
      <c r="T91" s="37">
        <f t="shared" si="47"/>
        <v>15</v>
      </c>
      <c r="U91" s="40">
        <f t="shared" si="48"/>
        <v>13.315555555555555</v>
      </c>
      <c r="V91" s="39">
        <f t="shared" si="49"/>
        <v>2</v>
      </c>
      <c r="W91" s="37">
        <f t="shared" si="50"/>
        <v>0.71962616822429903</v>
      </c>
      <c r="X91" s="40">
        <f t="shared" si="51"/>
        <v>0.28037383177570097</v>
      </c>
      <c r="Y91" s="39">
        <f t="shared" si="52"/>
        <v>13.629283489096572</v>
      </c>
      <c r="Z91" s="37">
        <f t="shared" si="71"/>
        <v>20.130197300103841</v>
      </c>
      <c r="AA91" s="37">
        <f t="shared" si="72"/>
        <v>13.884660617215907</v>
      </c>
      <c r="AB91" s="37">
        <v>0</v>
      </c>
      <c r="AC91" s="37">
        <f t="shared" si="53"/>
        <v>0.38556760091053283</v>
      </c>
      <c r="AD91" s="40">
        <f t="shared" si="62"/>
        <v>0.38556760091053283</v>
      </c>
      <c r="AE91" s="39">
        <f t="shared" si="70"/>
        <v>9.5822222222222209</v>
      </c>
      <c r="AF91" s="37">
        <f t="shared" si="63"/>
        <v>11.778466267614867</v>
      </c>
      <c r="AG91" s="37">
        <f t="shared" si="54"/>
        <v>0</v>
      </c>
      <c r="AH91" s="37">
        <f t="shared" si="55"/>
        <v>27.433830910453818</v>
      </c>
      <c r="AI91" s="40">
        <f t="shared" si="64"/>
        <v>27.433830910453818</v>
      </c>
      <c r="AJ91" s="39">
        <f t="shared" si="65"/>
        <v>3.7333333333333338</v>
      </c>
      <c r="AK91" s="37">
        <f t="shared" si="56"/>
        <v>7.3519747577045713</v>
      </c>
      <c r="AL91" s="37">
        <f t="shared" si="57"/>
        <v>1.9487999999999999</v>
      </c>
      <c r="AM91" s="37">
        <f t="shared" si="58"/>
        <v>1.1897599999999999</v>
      </c>
      <c r="AN91" s="40">
        <f t="shared" si="66"/>
        <v>3.13856</v>
      </c>
      <c r="AO91" s="39">
        <f t="shared" si="59"/>
        <v>0.20809840142601196</v>
      </c>
      <c r="AP91" s="37">
        <f t="shared" si="60"/>
        <v>0.58509</v>
      </c>
      <c r="AQ91" s="40">
        <f t="shared" si="61"/>
        <v>6.7499999999999999E-3</v>
      </c>
      <c r="AR91" s="39">
        <f t="shared" si="67"/>
        <v>31.757896912790365</v>
      </c>
      <c r="AS91" s="37">
        <f t="shared" si="68"/>
        <v>179.76</v>
      </c>
      <c r="AT91" s="40">
        <f t="shared" si="69"/>
        <v>84.985716397376876</v>
      </c>
    </row>
    <row r="92" spans="17:46" x14ac:dyDescent="0.25">
      <c r="Q92">
        <v>85</v>
      </c>
      <c r="R92" s="39">
        <f t="shared" si="45"/>
        <v>53.5</v>
      </c>
      <c r="S92" s="37">
        <f t="shared" si="46"/>
        <v>3.4</v>
      </c>
      <c r="T92" s="37">
        <f t="shared" si="47"/>
        <v>15</v>
      </c>
      <c r="U92" s="40">
        <f t="shared" si="48"/>
        <v>13.474074074074075</v>
      </c>
      <c r="V92" s="39">
        <f t="shared" si="49"/>
        <v>2</v>
      </c>
      <c r="W92" s="37">
        <f t="shared" si="50"/>
        <v>0.71962616822429903</v>
      </c>
      <c r="X92" s="40">
        <f t="shared" si="51"/>
        <v>0.28037383177570097</v>
      </c>
      <c r="Y92" s="39">
        <f t="shared" si="52"/>
        <v>13.629283489096572</v>
      </c>
      <c r="Z92" s="37">
        <f t="shared" si="71"/>
        <v>20.288715818622361</v>
      </c>
      <c r="AA92" s="37">
        <f t="shared" si="72"/>
        <v>14.036753643767321</v>
      </c>
      <c r="AB92" s="37">
        <v>0</v>
      </c>
      <c r="AC92" s="37">
        <f t="shared" si="53"/>
        <v>0.39406090571163038</v>
      </c>
      <c r="AD92" s="40">
        <f t="shared" si="62"/>
        <v>0.39406090571163038</v>
      </c>
      <c r="AE92" s="39">
        <f t="shared" si="70"/>
        <v>9.6962962962962962</v>
      </c>
      <c r="AF92" s="37">
        <f t="shared" si="63"/>
        <v>11.907487972369685</v>
      </c>
      <c r="AG92" s="37">
        <f t="shared" si="54"/>
        <v>0</v>
      </c>
      <c r="AH92" s="37">
        <f t="shared" si="55"/>
        <v>27.760424135578269</v>
      </c>
      <c r="AI92" s="40">
        <f t="shared" si="64"/>
        <v>27.760424135578269</v>
      </c>
      <c r="AJ92" s="39">
        <f t="shared" si="65"/>
        <v>3.7777777777777786</v>
      </c>
      <c r="AK92" s="37">
        <f t="shared" si="56"/>
        <v>7.4325085296746556</v>
      </c>
      <c r="AL92" s="37">
        <f t="shared" si="57"/>
        <v>1.9719999999999998</v>
      </c>
      <c r="AM92" s="37">
        <f t="shared" si="58"/>
        <v>1.1897599999999999</v>
      </c>
      <c r="AN92" s="40">
        <f t="shared" si="66"/>
        <v>3.1617599999999997</v>
      </c>
      <c r="AO92" s="39">
        <f t="shared" si="59"/>
        <v>0.21268240471819305</v>
      </c>
      <c r="AP92" s="37">
        <f t="shared" si="60"/>
        <v>0.58509</v>
      </c>
      <c r="AQ92" s="40">
        <f t="shared" si="61"/>
        <v>6.7499999999999999E-3</v>
      </c>
      <c r="AR92" s="39">
        <f t="shared" si="67"/>
        <v>32.120767446008088</v>
      </c>
      <c r="AS92" s="37">
        <f t="shared" si="68"/>
        <v>181.9</v>
      </c>
      <c r="AT92" s="40">
        <f t="shared" si="69"/>
        <v>84.991752048496267</v>
      </c>
    </row>
    <row r="93" spans="17:46" x14ac:dyDescent="0.25">
      <c r="Q93">
        <v>86</v>
      </c>
      <c r="R93" s="39">
        <f t="shared" si="45"/>
        <v>53.5</v>
      </c>
      <c r="S93" s="37">
        <f t="shared" si="46"/>
        <v>3.44</v>
      </c>
      <c r="T93" s="37">
        <f t="shared" si="47"/>
        <v>15</v>
      </c>
      <c r="U93" s="40">
        <f t="shared" si="48"/>
        <v>13.632592592592593</v>
      </c>
      <c r="V93" s="39">
        <f t="shared" si="49"/>
        <v>2</v>
      </c>
      <c r="W93" s="37">
        <f t="shared" si="50"/>
        <v>0.71962616822429903</v>
      </c>
      <c r="X93" s="40">
        <f t="shared" si="51"/>
        <v>0.28037383177570097</v>
      </c>
      <c r="Y93" s="39">
        <f t="shared" si="52"/>
        <v>13.629283489096572</v>
      </c>
      <c r="Z93" s="37">
        <f t="shared" si="71"/>
        <v>20.447234337140877</v>
      </c>
      <c r="AA93" s="37">
        <f t="shared" si="72"/>
        <v>14.188987331652335</v>
      </c>
      <c r="AB93" s="37">
        <v>0</v>
      </c>
      <c r="AC93" s="37">
        <f t="shared" si="53"/>
        <v>0.40265472299558086</v>
      </c>
      <c r="AD93" s="40">
        <f t="shared" si="62"/>
        <v>0.40265472299558086</v>
      </c>
      <c r="AE93" s="39">
        <f t="shared" si="70"/>
        <v>9.8103703703703697</v>
      </c>
      <c r="AF93" s="37">
        <f t="shared" si="63"/>
        <v>12.036629001234655</v>
      </c>
      <c r="AG93" s="37">
        <f t="shared" si="54"/>
        <v>0</v>
      </c>
      <c r="AH93" s="37">
        <f t="shared" si="55"/>
        <v>28.087017360702713</v>
      </c>
      <c r="AI93" s="40">
        <f t="shared" si="64"/>
        <v>28.087017360702713</v>
      </c>
      <c r="AJ93" s="39">
        <f t="shared" si="65"/>
        <v>3.8222222222222229</v>
      </c>
      <c r="AK93" s="37">
        <f t="shared" si="56"/>
        <v>7.5131167822966267</v>
      </c>
      <c r="AL93" s="37">
        <f t="shared" si="57"/>
        <v>1.9951999999999999</v>
      </c>
      <c r="AM93" s="37">
        <f t="shared" si="58"/>
        <v>1.1897599999999999</v>
      </c>
      <c r="AN93" s="40">
        <f t="shared" si="66"/>
        <v>3.1849599999999998</v>
      </c>
      <c r="AO93" s="39">
        <f t="shared" si="59"/>
        <v>0.21732065657004476</v>
      </c>
      <c r="AP93" s="37">
        <f t="shared" si="60"/>
        <v>0.58509</v>
      </c>
      <c r="AQ93" s="40">
        <f t="shared" si="61"/>
        <v>6.7499999999999999E-3</v>
      </c>
      <c r="AR93" s="39">
        <f t="shared" si="67"/>
        <v>32.483792740268335</v>
      </c>
      <c r="AS93" s="37">
        <f t="shared" si="68"/>
        <v>184.04</v>
      </c>
      <c r="AT93" s="40">
        <f t="shared" si="69"/>
        <v>84.997587410989823</v>
      </c>
    </row>
    <row r="94" spans="17:46" x14ac:dyDescent="0.25">
      <c r="Q94">
        <v>87</v>
      </c>
      <c r="R94" s="39">
        <f t="shared" si="45"/>
        <v>53.5</v>
      </c>
      <c r="S94" s="37">
        <f t="shared" si="46"/>
        <v>3.48</v>
      </c>
      <c r="T94" s="37">
        <f t="shared" si="47"/>
        <v>15</v>
      </c>
      <c r="U94" s="40">
        <f t="shared" si="48"/>
        <v>13.791111111111112</v>
      </c>
      <c r="V94" s="39">
        <f t="shared" si="49"/>
        <v>2</v>
      </c>
      <c r="W94" s="37">
        <f t="shared" si="50"/>
        <v>0.71962616822429903</v>
      </c>
      <c r="X94" s="40">
        <f t="shared" si="51"/>
        <v>0.28037383177570097</v>
      </c>
      <c r="Y94" s="39">
        <f t="shared" si="52"/>
        <v>13.629283489096572</v>
      </c>
      <c r="Z94" s="37">
        <f t="shared" si="71"/>
        <v>20.605752855659397</v>
      </c>
      <c r="AA94" s="37">
        <f t="shared" si="72"/>
        <v>14.341357201506154</v>
      </c>
      <c r="AB94" s="37">
        <v>0</v>
      </c>
      <c r="AC94" s="37">
        <f t="shared" si="53"/>
        <v>0.41134905276238487</v>
      </c>
      <c r="AD94" s="40">
        <f t="shared" si="62"/>
        <v>0.41134905276238487</v>
      </c>
      <c r="AE94" s="39">
        <f t="shared" si="70"/>
        <v>9.9244444444444451</v>
      </c>
      <c r="AF94" s="37">
        <f t="shared" si="63"/>
        <v>12.165885554329572</v>
      </c>
      <c r="AG94" s="37">
        <f t="shared" si="54"/>
        <v>0</v>
      </c>
      <c r="AH94" s="37">
        <f t="shared" si="55"/>
        <v>28.413610585827168</v>
      </c>
      <c r="AI94" s="40">
        <f t="shared" si="64"/>
        <v>28.413610585827168</v>
      </c>
      <c r="AJ94" s="39">
        <f t="shared" si="65"/>
        <v>3.8666666666666676</v>
      </c>
      <c r="AK94" s="37">
        <f t="shared" si="56"/>
        <v>7.5937971437316776</v>
      </c>
      <c r="AL94" s="37">
        <f t="shared" si="57"/>
        <v>2.0183999999999997</v>
      </c>
      <c r="AM94" s="37">
        <f t="shared" si="58"/>
        <v>1.1897599999999999</v>
      </c>
      <c r="AN94" s="40">
        <f t="shared" si="66"/>
        <v>3.2081599999999995</v>
      </c>
      <c r="AO94" s="39">
        <f t="shared" si="59"/>
        <v>0.22201315698156743</v>
      </c>
      <c r="AP94" s="37">
        <f t="shared" si="60"/>
        <v>0.58509</v>
      </c>
      <c r="AQ94" s="40">
        <f t="shared" si="61"/>
        <v>6.7499999999999999E-3</v>
      </c>
      <c r="AR94" s="39">
        <f t="shared" si="67"/>
        <v>32.846972795571119</v>
      </c>
      <c r="AS94" s="37">
        <f t="shared" si="68"/>
        <v>186.18</v>
      </c>
      <c r="AT94" s="40">
        <f t="shared" si="69"/>
        <v>85.003229339142251</v>
      </c>
    </row>
    <row r="95" spans="17:46" x14ac:dyDescent="0.25">
      <c r="Q95">
        <v>88</v>
      </c>
      <c r="R95" s="39">
        <f t="shared" si="45"/>
        <v>53.5</v>
      </c>
      <c r="S95" s="37">
        <f t="shared" si="46"/>
        <v>3.52</v>
      </c>
      <c r="T95" s="37">
        <f t="shared" si="47"/>
        <v>15</v>
      </c>
      <c r="U95" s="40">
        <f t="shared" si="48"/>
        <v>13.949629629629628</v>
      </c>
      <c r="V95" s="39">
        <f t="shared" si="49"/>
        <v>2</v>
      </c>
      <c r="W95" s="37">
        <f t="shared" si="50"/>
        <v>0.71962616822429903</v>
      </c>
      <c r="X95" s="40">
        <f t="shared" si="51"/>
        <v>0.28037383177570097</v>
      </c>
      <c r="Y95" s="39">
        <f t="shared" si="52"/>
        <v>13.629283489096572</v>
      </c>
      <c r="Z95" s="37">
        <f t="shared" si="71"/>
        <v>20.764271374177916</v>
      </c>
      <c r="AA95" s="37">
        <f t="shared" si="72"/>
        <v>14.493858958400999</v>
      </c>
      <c r="AB95" s="37">
        <v>0</v>
      </c>
      <c r="AC95" s="37">
        <f t="shared" si="53"/>
        <v>0.42014389501204175</v>
      </c>
      <c r="AD95" s="40">
        <f t="shared" si="62"/>
        <v>0.42014389501204175</v>
      </c>
      <c r="AE95" s="39">
        <f t="shared" si="70"/>
        <v>10.038518518518517</v>
      </c>
      <c r="AF95" s="37">
        <f t="shared" si="63"/>
        <v>12.295253988233586</v>
      </c>
      <c r="AG95" s="37">
        <f t="shared" si="54"/>
        <v>0</v>
      </c>
      <c r="AH95" s="37">
        <f t="shared" si="55"/>
        <v>28.740203810951613</v>
      </c>
      <c r="AI95" s="40">
        <f t="shared" si="64"/>
        <v>28.740203810951613</v>
      </c>
      <c r="AJ95" s="39">
        <f t="shared" si="65"/>
        <v>3.911111111111111</v>
      </c>
      <c r="AK95" s="37">
        <f t="shared" si="56"/>
        <v>7.6745473398010242</v>
      </c>
      <c r="AL95" s="37">
        <f t="shared" si="57"/>
        <v>2.0415999999999999</v>
      </c>
      <c r="AM95" s="37">
        <f t="shared" si="58"/>
        <v>1.1897599999999999</v>
      </c>
      <c r="AN95" s="40">
        <f t="shared" si="66"/>
        <v>3.2313599999999996</v>
      </c>
      <c r="AO95" s="39">
        <f t="shared" si="59"/>
        <v>0.22675990595276085</v>
      </c>
      <c r="AP95" s="37">
        <f t="shared" si="60"/>
        <v>0.58509</v>
      </c>
      <c r="AQ95" s="40">
        <f t="shared" si="61"/>
        <v>6.7499999999999999E-3</v>
      </c>
      <c r="AR95" s="39">
        <f t="shared" si="67"/>
        <v>33.210307611916413</v>
      </c>
      <c r="AS95" s="37">
        <f t="shared" si="68"/>
        <v>188.32</v>
      </c>
      <c r="AT95" s="40">
        <f t="shared" si="69"/>
        <v>85.008684378258863</v>
      </c>
    </row>
    <row r="96" spans="17:46" x14ac:dyDescent="0.25">
      <c r="Q96">
        <v>89</v>
      </c>
      <c r="R96" s="39">
        <f t="shared" si="45"/>
        <v>53.5</v>
      </c>
      <c r="S96" s="37">
        <f t="shared" si="46"/>
        <v>3.56</v>
      </c>
      <c r="T96" s="37">
        <f t="shared" si="47"/>
        <v>15</v>
      </c>
      <c r="U96" s="40">
        <f t="shared" si="48"/>
        <v>14.108148148148148</v>
      </c>
      <c r="V96" s="39">
        <f t="shared" si="49"/>
        <v>2</v>
      </c>
      <c r="W96" s="37">
        <f t="shared" si="50"/>
        <v>0.71962616822429903</v>
      </c>
      <c r="X96" s="40">
        <f t="shared" si="51"/>
        <v>0.28037383177570097</v>
      </c>
      <c r="Y96" s="39">
        <f t="shared" si="52"/>
        <v>13.629283489096572</v>
      </c>
      <c r="Z96" s="37">
        <f t="shared" si="71"/>
        <v>20.922789892696436</v>
      </c>
      <c r="AA96" s="37">
        <f t="shared" si="72"/>
        <v>14.646488482645799</v>
      </c>
      <c r="AB96" s="37">
        <v>0</v>
      </c>
      <c r="AC96" s="37">
        <f t="shared" si="53"/>
        <v>0.4290392497445521</v>
      </c>
      <c r="AD96" s="40">
        <f t="shared" si="62"/>
        <v>0.4290392497445521</v>
      </c>
      <c r="AE96" s="39">
        <f t="shared" si="70"/>
        <v>10.152592592592592</v>
      </c>
      <c r="AF96" s="37">
        <f t="shared" si="63"/>
        <v>12.424730808180517</v>
      </c>
      <c r="AG96" s="37">
        <f t="shared" si="54"/>
        <v>0</v>
      </c>
      <c r="AH96" s="37">
        <f t="shared" si="55"/>
        <v>29.066797036076064</v>
      </c>
      <c r="AI96" s="40">
        <f t="shared" si="64"/>
        <v>29.066797036076064</v>
      </c>
      <c r="AJ96" s="39">
        <f t="shared" si="65"/>
        <v>3.9555555555555557</v>
      </c>
      <c r="AK96" s="37">
        <f t="shared" si="56"/>
        <v>7.7553651891143085</v>
      </c>
      <c r="AL96" s="37">
        <f t="shared" si="57"/>
        <v>2.0648</v>
      </c>
      <c r="AM96" s="37">
        <f t="shared" si="58"/>
        <v>1.1897599999999999</v>
      </c>
      <c r="AN96" s="40">
        <f t="shared" si="66"/>
        <v>3.2545599999999997</v>
      </c>
      <c r="AO96" s="39">
        <f t="shared" si="59"/>
        <v>0.23156090348362512</v>
      </c>
      <c r="AP96" s="37">
        <f t="shared" si="60"/>
        <v>0.58509</v>
      </c>
      <c r="AQ96" s="40">
        <f t="shared" si="61"/>
        <v>6.7499999999999999E-3</v>
      </c>
      <c r="AR96" s="39">
        <f t="shared" si="67"/>
        <v>33.573797189304244</v>
      </c>
      <c r="AS96" s="37">
        <f t="shared" si="68"/>
        <v>190.46</v>
      </c>
      <c r="AT96" s="40">
        <f t="shared" si="69"/>
        <v>85.013958781881897</v>
      </c>
    </row>
    <row r="97" spans="17:46" x14ac:dyDescent="0.25">
      <c r="Q97">
        <v>90</v>
      </c>
      <c r="R97" s="39">
        <f t="shared" si="45"/>
        <v>53.5</v>
      </c>
      <c r="S97" s="37">
        <f t="shared" si="46"/>
        <v>3.6</v>
      </c>
      <c r="T97" s="37">
        <f t="shared" si="47"/>
        <v>15</v>
      </c>
      <c r="U97" s="40">
        <f t="shared" si="48"/>
        <v>14.266666666666666</v>
      </c>
      <c r="V97" s="39">
        <f t="shared" si="49"/>
        <v>2</v>
      </c>
      <c r="W97" s="37">
        <f t="shared" si="50"/>
        <v>0.71962616822429903</v>
      </c>
      <c r="X97" s="40">
        <f t="shared" si="51"/>
        <v>0.28037383177570097</v>
      </c>
      <c r="Y97" s="39">
        <f t="shared" si="52"/>
        <v>13.629283489096572</v>
      </c>
      <c r="Z97" s="37">
        <f t="shared" si="71"/>
        <v>21.081308411214952</v>
      </c>
      <c r="AA97" s="37">
        <f t="shared" si="72"/>
        <v>14.799241821119006</v>
      </c>
      <c r="AB97" s="37">
        <v>0</v>
      </c>
      <c r="AC97" s="37">
        <f t="shared" si="53"/>
        <v>0.43803511695991559</v>
      </c>
      <c r="AD97" s="40">
        <f t="shared" si="62"/>
        <v>0.43803511695991559</v>
      </c>
      <c r="AE97" s="39">
        <f t="shared" si="70"/>
        <v>10.266666666666666</v>
      </c>
      <c r="AF97" s="37">
        <f t="shared" si="63"/>
        <v>12.554312660706413</v>
      </c>
      <c r="AG97" s="37">
        <f t="shared" si="54"/>
        <v>0</v>
      </c>
      <c r="AH97" s="37">
        <f t="shared" si="55"/>
        <v>29.393390261200519</v>
      </c>
      <c r="AI97" s="40">
        <f t="shared" si="64"/>
        <v>29.393390261200519</v>
      </c>
      <c r="AJ97" s="39">
        <f t="shared" si="65"/>
        <v>4</v>
      </c>
      <c r="AK97" s="37">
        <f t="shared" si="56"/>
        <v>7.8362485984802968</v>
      </c>
      <c r="AL97" s="37">
        <f t="shared" si="57"/>
        <v>2.0880000000000001</v>
      </c>
      <c r="AM97" s="37">
        <f t="shared" si="58"/>
        <v>1.1897599999999999</v>
      </c>
      <c r="AN97" s="40">
        <f t="shared" si="66"/>
        <v>3.2777599999999998</v>
      </c>
      <c r="AO97" s="39">
        <f t="shared" si="59"/>
        <v>0.23641614957416002</v>
      </c>
      <c r="AP97" s="37">
        <f t="shared" si="60"/>
        <v>0.58509</v>
      </c>
      <c r="AQ97" s="40">
        <f t="shared" si="61"/>
        <v>6.7499999999999999E-3</v>
      </c>
      <c r="AR97" s="39">
        <f t="shared" si="67"/>
        <v>33.937441527734592</v>
      </c>
      <c r="AS97" s="37">
        <f t="shared" si="68"/>
        <v>192.6</v>
      </c>
      <c r="AT97" s="40">
        <f t="shared" si="69"/>
        <v>85.019058527868253</v>
      </c>
    </row>
    <row r="98" spans="17:46" x14ac:dyDescent="0.25">
      <c r="Q98">
        <v>91</v>
      </c>
      <c r="R98" s="39">
        <f t="shared" si="45"/>
        <v>53.5</v>
      </c>
      <c r="S98" s="37">
        <f t="shared" si="46"/>
        <v>3.64</v>
      </c>
      <c r="T98" s="37">
        <f t="shared" si="47"/>
        <v>15</v>
      </c>
      <c r="U98" s="40">
        <f t="shared" si="48"/>
        <v>14.425185185185185</v>
      </c>
      <c r="V98" s="39">
        <f t="shared" si="49"/>
        <v>2</v>
      </c>
      <c r="W98" s="37">
        <f t="shared" si="50"/>
        <v>0.71962616822429903</v>
      </c>
      <c r="X98" s="40">
        <f t="shared" si="51"/>
        <v>0.28037383177570097</v>
      </c>
      <c r="Y98" s="39">
        <f t="shared" si="52"/>
        <v>13.629283489096572</v>
      </c>
      <c r="Z98" s="37">
        <f t="shared" si="71"/>
        <v>21.239826929733471</v>
      </c>
      <c r="AA98" s="37">
        <f t="shared" si="72"/>
        <v>14.952115179099785</v>
      </c>
      <c r="AB98" s="37">
        <v>0</v>
      </c>
      <c r="AC98" s="37">
        <f t="shared" si="53"/>
        <v>0.4471314966581324</v>
      </c>
      <c r="AD98" s="40">
        <f t="shared" si="62"/>
        <v>0.4471314966581324</v>
      </c>
      <c r="AE98" s="39">
        <f t="shared" si="70"/>
        <v>10.380740740740741</v>
      </c>
      <c r="AF98" s="37">
        <f t="shared" si="63"/>
        <v>12.6839963267199</v>
      </c>
      <c r="AG98" s="37">
        <f t="shared" si="54"/>
        <v>0</v>
      </c>
      <c r="AH98" s="37">
        <f t="shared" si="55"/>
        <v>29.719983486324967</v>
      </c>
      <c r="AI98" s="40">
        <f t="shared" si="64"/>
        <v>29.719983486324967</v>
      </c>
      <c r="AJ98" s="39">
        <f t="shared" si="65"/>
        <v>4.0444444444444452</v>
      </c>
      <c r="AK98" s="37">
        <f t="shared" si="56"/>
        <v>7.9171955585814793</v>
      </c>
      <c r="AL98" s="37">
        <f t="shared" si="57"/>
        <v>2.1111999999999997</v>
      </c>
      <c r="AM98" s="37">
        <f t="shared" si="58"/>
        <v>1.1897599999999999</v>
      </c>
      <c r="AN98" s="40">
        <f t="shared" si="66"/>
        <v>3.3009599999999999</v>
      </c>
      <c r="AO98" s="39">
        <f t="shared" si="59"/>
        <v>0.24132564422436589</v>
      </c>
      <c r="AP98" s="37">
        <f t="shared" si="60"/>
        <v>0.58509</v>
      </c>
      <c r="AQ98" s="40">
        <f t="shared" si="61"/>
        <v>6.7499999999999999E-3</v>
      </c>
      <c r="AR98" s="39">
        <f t="shared" si="67"/>
        <v>34.301240627207463</v>
      </c>
      <c r="AS98" s="37">
        <f t="shared" si="68"/>
        <v>194.74</v>
      </c>
      <c r="AT98" s="40">
        <f t="shared" si="69"/>
        <v>85.023989333415756</v>
      </c>
    </row>
    <row r="99" spans="17:46" x14ac:dyDescent="0.25">
      <c r="Q99">
        <v>92</v>
      </c>
      <c r="R99" s="39">
        <f t="shared" si="45"/>
        <v>53.5</v>
      </c>
      <c r="S99" s="37">
        <f t="shared" si="46"/>
        <v>3.68</v>
      </c>
      <c r="T99" s="37">
        <f t="shared" si="47"/>
        <v>15</v>
      </c>
      <c r="U99" s="40">
        <f t="shared" si="48"/>
        <v>14.583703703703703</v>
      </c>
      <c r="V99" s="39">
        <f t="shared" si="49"/>
        <v>2</v>
      </c>
      <c r="W99" s="37">
        <f t="shared" si="50"/>
        <v>0.71962616822429903</v>
      </c>
      <c r="X99" s="40">
        <f t="shared" si="51"/>
        <v>0.28037383177570097</v>
      </c>
      <c r="Y99" s="39">
        <f t="shared" si="52"/>
        <v>13.629283489096572</v>
      </c>
      <c r="Z99" s="37">
        <f t="shared" si="71"/>
        <v>21.398345448251987</v>
      </c>
      <c r="AA99" s="37">
        <f t="shared" si="72"/>
        <v>15.105104912565194</v>
      </c>
      <c r="AB99" s="37">
        <v>0</v>
      </c>
      <c r="AC99" s="37">
        <f t="shared" si="53"/>
        <v>0.45632838883920235</v>
      </c>
      <c r="AD99" s="40">
        <f t="shared" si="62"/>
        <v>0.45632838883920235</v>
      </c>
      <c r="AE99" s="39">
        <f t="shared" si="70"/>
        <v>10.494814814814815</v>
      </c>
      <c r="AF99" s="37">
        <f t="shared" si="63"/>
        <v>12.813778714967787</v>
      </c>
      <c r="AG99" s="37">
        <f t="shared" si="54"/>
        <v>0</v>
      </c>
      <c r="AH99" s="37">
        <f t="shared" si="55"/>
        <v>30.046576711449415</v>
      </c>
      <c r="AI99" s="40">
        <f t="shared" si="64"/>
        <v>30.046576711449415</v>
      </c>
      <c r="AJ99" s="39">
        <f t="shared" si="65"/>
        <v>4.0888888888888895</v>
      </c>
      <c r="AK99" s="37">
        <f t="shared" si="56"/>
        <v>7.9982041398953783</v>
      </c>
      <c r="AL99" s="37">
        <f t="shared" si="57"/>
        <v>2.1343999999999999</v>
      </c>
      <c r="AM99" s="37">
        <f t="shared" si="58"/>
        <v>1.1897599999999999</v>
      </c>
      <c r="AN99" s="40">
        <f t="shared" si="66"/>
        <v>3.32416</v>
      </c>
      <c r="AO99" s="39">
        <f t="shared" si="59"/>
        <v>0.24628938743424225</v>
      </c>
      <c r="AP99" s="37">
        <f t="shared" si="60"/>
        <v>0.58509</v>
      </c>
      <c r="AQ99" s="40">
        <f t="shared" si="61"/>
        <v>6.7499999999999999E-3</v>
      </c>
      <c r="AR99" s="39">
        <f t="shared" si="67"/>
        <v>34.665194487722857</v>
      </c>
      <c r="AS99" s="37">
        <f t="shared" si="68"/>
        <v>196.88</v>
      </c>
      <c r="AT99" s="40">
        <f t="shared" si="69"/>
        <v>85.028756669117172</v>
      </c>
    </row>
    <row r="100" spans="17:46" x14ac:dyDescent="0.25">
      <c r="Q100">
        <v>93</v>
      </c>
      <c r="R100" s="39">
        <f t="shared" si="45"/>
        <v>53.5</v>
      </c>
      <c r="S100" s="37">
        <f t="shared" si="46"/>
        <v>3.72</v>
      </c>
      <c r="T100" s="37">
        <f t="shared" si="47"/>
        <v>15</v>
      </c>
      <c r="U100" s="40">
        <f t="shared" si="48"/>
        <v>14.742222222222223</v>
      </c>
      <c r="V100" s="39">
        <f t="shared" si="49"/>
        <v>2</v>
      </c>
      <c r="W100" s="37">
        <f t="shared" si="50"/>
        <v>0.71962616822429903</v>
      </c>
      <c r="X100" s="40">
        <f t="shared" si="51"/>
        <v>0.28037383177570097</v>
      </c>
      <c r="Y100" s="39">
        <f t="shared" si="52"/>
        <v>13.629283489096572</v>
      </c>
      <c r="Z100" s="37">
        <f t="shared" si="71"/>
        <v>21.556863966770507</v>
      </c>
      <c r="AA100" s="37">
        <f t="shared" si="72"/>
        <v>15.25820752092338</v>
      </c>
      <c r="AB100" s="37">
        <v>0</v>
      </c>
      <c r="AC100" s="37">
        <f t="shared" si="53"/>
        <v>0.46562579350312561</v>
      </c>
      <c r="AD100" s="40">
        <f t="shared" si="62"/>
        <v>0.46562579350312561</v>
      </c>
      <c r="AE100" s="39">
        <f t="shared" si="70"/>
        <v>10.608888888888888</v>
      </c>
      <c r="AF100" s="37">
        <f t="shared" si="63"/>
        <v>12.943656855870618</v>
      </c>
      <c r="AG100" s="37">
        <f t="shared" si="54"/>
        <v>0</v>
      </c>
      <c r="AH100" s="37">
        <f t="shared" si="55"/>
        <v>30.373169936573873</v>
      </c>
      <c r="AI100" s="40">
        <f t="shared" si="64"/>
        <v>30.373169936573873</v>
      </c>
      <c r="AJ100" s="39">
        <f t="shared" si="65"/>
        <v>4.1333333333333337</v>
      </c>
      <c r="AK100" s="37">
        <f t="shared" si="56"/>
        <v>8.0792724888467706</v>
      </c>
      <c r="AL100" s="37">
        <f t="shared" si="57"/>
        <v>2.1576</v>
      </c>
      <c r="AM100" s="37">
        <f t="shared" si="58"/>
        <v>1.1897599999999999</v>
      </c>
      <c r="AN100" s="40">
        <f t="shared" si="66"/>
        <v>3.3473600000000001</v>
      </c>
      <c r="AO100" s="39">
        <f t="shared" si="59"/>
        <v>0.25130737920378965</v>
      </c>
      <c r="AP100" s="37">
        <f t="shared" si="60"/>
        <v>0.58509</v>
      </c>
      <c r="AQ100" s="40">
        <f t="shared" si="61"/>
        <v>6.7499999999999999E-3</v>
      </c>
      <c r="AR100" s="39">
        <f t="shared" si="67"/>
        <v>35.029303109280782</v>
      </c>
      <c r="AS100" s="37">
        <f t="shared" si="68"/>
        <v>199.02</v>
      </c>
      <c r="AT100" s="40">
        <f t="shared" si="69"/>
        <v>85.033365772114635</v>
      </c>
    </row>
    <row r="101" spans="17:46" x14ac:dyDescent="0.25">
      <c r="Q101">
        <v>94</v>
      </c>
      <c r="R101" s="39">
        <f t="shared" si="45"/>
        <v>53.5</v>
      </c>
      <c r="S101" s="37">
        <f t="shared" si="46"/>
        <v>3.7600000000000002</v>
      </c>
      <c r="T101" s="37">
        <f t="shared" si="47"/>
        <v>15</v>
      </c>
      <c r="U101" s="40">
        <f t="shared" si="48"/>
        <v>14.900740740740742</v>
      </c>
      <c r="V101" s="39">
        <f t="shared" si="49"/>
        <v>2</v>
      </c>
      <c r="W101" s="37">
        <f t="shared" si="50"/>
        <v>0.71962616822429903</v>
      </c>
      <c r="X101" s="40">
        <f t="shared" si="51"/>
        <v>0.28037383177570097</v>
      </c>
      <c r="Y101" s="39">
        <f t="shared" si="52"/>
        <v>13.629283489096572</v>
      </c>
      <c r="Z101" s="37">
        <f t="shared" si="71"/>
        <v>21.715382485289027</v>
      </c>
      <c r="AA101" s="37">
        <f t="shared" si="72"/>
        <v>15.411419640154861</v>
      </c>
      <c r="AB101" s="37">
        <v>0</v>
      </c>
      <c r="AC101" s="37">
        <f t="shared" si="53"/>
        <v>0.47502371064990201</v>
      </c>
      <c r="AD101" s="40">
        <f t="shared" si="62"/>
        <v>0.47502371064990201</v>
      </c>
      <c r="AE101" s="39">
        <f t="shared" si="70"/>
        <v>10.722962962962963</v>
      </c>
      <c r="AF101" s="37">
        <f t="shared" si="63"/>
        <v>13.073627895704332</v>
      </c>
      <c r="AG101" s="37">
        <f t="shared" si="54"/>
        <v>0</v>
      </c>
      <c r="AH101" s="37">
        <f t="shared" si="55"/>
        <v>30.699763161698321</v>
      </c>
      <c r="AI101" s="40">
        <f t="shared" si="64"/>
        <v>30.699763161698321</v>
      </c>
      <c r="AJ101" s="39">
        <f t="shared" si="65"/>
        <v>4.1777777777777789</v>
      </c>
      <c r="AK101" s="37">
        <f t="shared" si="56"/>
        <v>8.160398824175962</v>
      </c>
      <c r="AL101" s="37">
        <f t="shared" si="57"/>
        <v>2.1808000000000001</v>
      </c>
      <c r="AM101" s="37">
        <f t="shared" si="58"/>
        <v>1.1897599999999999</v>
      </c>
      <c r="AN101" s="40">
        <f t="shared" si="66"/>
        <v>3.3705600000000002</v>
      </c>
      <c r="AO101" s="39">
        <f t="shared" si="59"/>
        <v>0.2563796195330077</v>
      </c>
      <c r="AP101" s="37">
        <f t="shared" si="60"/>
        <v>0.58509</v>
      </c>
      <c r="AQ101" s="40">
        <f t="shared" si="61"/>
        <v>6.7499999999999999E-3</v>
      </c>
      <c r="AR101" s="39">
        <f t="shared" si="67"/>
        <v>35.393566491881231</v>
      </c>
      <c r="AS101" s="37">
        <f t="shared" si="68"/>
        <v>201.16000000000003</v>
      </c>
      <c r="AT101" s="40">
        <f t="shared" si="69"/>
        <v>85.037821658420881</v>
      </c>
    </row>
    <row r="102" spans="17:46" x14ac:dyDescent="0.25">
      <c r="Q102">
        <v>95</v>
      </c>
      <c r="R102" s="39">
        <f t="shared" si="45"/>
        <v>53.5</v>
      </c>
      <c r="S102" s="37">
        <f t="shared" si="46"/>
        <v>3.8000000000000003</v>
      </c>
      <c r="T102" s="37">
        <f t="shared" si="47"/>
        <v>15</v>
      </c>
      <c r="U102" s="40">
        <f t="shared" si="48"/>
        <v>15.05925925925926</v>
      </c>
      <c r="V102" s="39">
        <f t="shared" si="49"/>
        <v>2</v>
      </c>
      <c r="W102" s="37">
        <f t="shared" si="50"/>
        <v>0.71962616822429903</v>
      </c>
      <c r="X102" s="40">
        <f t="shared" si="51"/>
        <v>0.28037383177570097</v>
      </c>
      <c r="Y102" s="39">
        <f t="shared" si="52"/>
        <v>13.629283489096572</v>
      </c>
      <c r="Z102" s="37">
        <f t="shared" si="71"/>
        <v>21.873901003807546</v>
      </c>
      <c r="AA102" s="37">
        <f t="shared" si="72"/>
        <v>15.564738036336038</v>
      </c>
      <c r="AB102" s="37">
        <v>0</v>
      </c>
      <c r="AC102" s="37">
        <f t="shared" si="53"/>
        <v>0.48452214027953172</v>
      </c>
      <c r="AD102" s="40">
        <f t="shared" si="62"/>
        <v>0.48452214027953172</v>
      </c>
      <c r="AE102" s="39">
        <f t="shared" si="70"/>
        <v>10.837037037037037</v>
      </c>
      <c r="AF102" s="37">
        <f t="shared" si="63"/>
        <v>13.203689091106234</v>
      </c>
      <c r="AG102" s="37">
        <f t="shared" si="54"/>
        <v>0</v>
      </c>
      <c r="AH102" s="37">
        <f t="shared" si="55"/>
        <v>31.026356386822769</v>
      </c>
      <c r="AI102" s="40">
        <f t="shared" si="64"/>
        <v>31.026356386822769</v>
      </c>
      <c r="AJ102" s="39">
        <f t="shared" si="65"/>
        <v>4.2222222222222232</v>
      </c>
      <c r="AK102" s="37">
        <f t="shared" si="56"/>
        <v>8.2415814335094684</v>
      </c>
      <c r="AL102" s="37">
        <f t="shared" si="57"/>
        <v>2.2040000000000002</v>
      </c>
      <c r="AM102" s="37">
        <f t="shared" si="58"/>
        <v>1.1897599999999999</v>
      </c>
      <c r="AN102" s="40">
        <f t="shared" si="66"/>
        <v>3.3937600000000003</v>
      </c>
      <c r="AO102" s="39">
        <f t="shared" si="59"/>
        <v>0.26150610842189664</v>
      </c>
      <c r="AP102" s="37">
        <f t="shared" si="60"/>
        <v>0.58509</v>
      </c>
      <c r="AQ102" s="40">
        <f t="shared" si="61"/>
        <v>6.7499999999999999E-3</v>
      </c>
      <c r="AR102" s="39">
        <f t="shared" si="67"/>
        <v>35.757984635524195</v>
      </c>
      <c r="AS102" s="37">
        <f t="shared" si="68"/>
        <v>203.3</v>
      </c>
      <c r="AT102" s="40">
        <f t="shared" si="69"/>
        <v>85.042129134468354</v>
      </c>
    </row>
    <row r="103" spans="17:46" x14ac:dyDescent="0.25">
      <c r="Q103">
        <v>96</v>
      </c>
      <c r="R103" s="39">
        <f t="shared" si="45"/>
        <v>53.5</v>
      </c>
      <c r="S103" s="37">
        <f t="shared" ref="S103:S134" si="73">Q103*$O$12</f>
        <v>3.84</v>
      </c>
      <c r="T103" s="37">
        <f t="shared" si="47"/>
        <v>15</v>
      </c>
      <c r="U103" s="40">
        <f t="shared" ref="U103:U134" si="74">(R103*S103)/(T103*EFF_est)</f>
        <v>15.217777777777778</v>
      </c>
      <c r="V103" s="39">
        <f t="shared" ref="V103:V134" si="75">IF((S103*R103/T103)&lt;((T103*(1-(T103/R103)))/(2*Lm*Fsw)),1,2)</f>
        <v>2</v>
      </c>
      <c r="W103" s="37">
        <f t="shared" ref="W103:W134" si="76">CHOOSE(V103,SQRT((2*S103*Lm*Fsw*(R103-T103))/((T103)^2)),1-(T103/R103))</f>
        <v>0.71962616822429903</v>
      </c>
      <c r="X103" s="40">
        <f t="shared" ref="X103:X134" si="77">CHOOSE(V103,(Lm*W103*Fsw)/(R103-T103),1-W103)</f>
        <v>0.28037383177570097</v>
      </c>
      <c r="Y103" s="39">
        <f t="shared" ref="Y103:Y134" si="78">(T103*W103)/(Lm*Fsw)</f>
        <v>13.629283489096572</v>
      </c>
      <c r="Z103" s="37">
        <f t="shared" si="71"/>
        <v>22.032419522326066</v>
      </c>
      <c r="AA103" s="37">
        <f t="shared" si="72"/>
        <v>15.718159599520778</v>
      </c>
      <c r="AB103" s="37">
        <v>0</v>
      </c>
      <c r="AC103" s="37">
        <f t="shared" ref="AC103:AC134" si="79">(AA103^2)*Rdcr</f>
        <v>0.49412108239201441</v>
      </c>
      <c r="AD103" s="40">
        <f t="shared" si="62"/>
        <v>0.49412108239201441</v>
      </c>
      <c r="AE103" s="39">
        <f t="shared" si="70"/>
        <v>10.951111111111111</v>
      </c>
      <c r="AF103" s="37">
        <f t="shared" si="63"/>
        <v>13.333837803884682</v>
      </c>
      <c r="AG103" s="37">
        <f t="shared" ref="AG103:AG134" si="80">(AF103^2)*RDS_on</f>
        <v>0</v>
      </c>
      <c r="AH103" s="37">
        <f t="shared" ref="AH103:AH134" si="81">((R103*U103)/2)*Fsw*(tr_sw+tf_sw)</f>
        <v>31.352949611947221</v>
      </c>
      <c r="AI103" s="40">
        <f t="shared" si="64"/>
        <v>31.352949611947221</v>
      </c>
      <c r="AJ103" s="39">
        <f t="shared" si="65"/>
        <v>4.2666666666666675</v>
      </c>
      <c r="AK103" s="37">
        <f t="shared" ref="AK103:AK134" si="82">CHOOSE(V103,Z103*SQRT(X103/3),SQRT(X103*((Z103^2)+((Y103^2)/3)-(Y103*Z103))))</f>
        <v>8.3228186701202969</v>
      </c>
      <c r="AL103" s="37">
        <f t="shared" ref="AL103:AL134" si="83">S103*Vd_rect</f>
        <v>2.2271999999999998</v>
      </c>
      <c r="AM103" s="37">
        <f t="shared" ref="AM103:AM134" si="84">CHOOSE(V103,(R103+Vd_rect)*Qrr*Fsw,(R103+Vd_rect)*Qrr*Fsw)</f>
        <v>1.1897599999999999</v>
      </c>
      <c r="AN103" s="40">
        <f t="shared" si="66"/>
        <v>3.4169599999999996</v>
      </c>
      <c r="AO103" s="39">
        <f t="shared" ref="AO103:AO134" si="85">(AF103^2)*R_cs</f>
        <v>0.26668684587045643</v>
      </c>
      <c r="AP103" s="37">
        <f t="shared" ref="AP103:AP134" si="86">Qg_tot*Vcc*Fsw</f>
        <v>0.58509</v>
      </c>
      <c r="AQ103" s="40">
        <f t="shared" ref="AQ103:AQ134" si="87">IQ*T103</f>
        <v>6.7499999999999999E-3</v>
      </c>
      <c r="AR103" s="39">
        <f t="shared" si="67"/>
        <v>36.122557540209691</v>
      </c>
      <c r="AS103" s="37">
        <f t="shared" si="68"/>
        <v>205.44</v>
      </c>
      <c r="AT103" s="40">
        <f t="shared" si="69"/>
        <v>85.046292807941953</v>
      </c>
    </row>
    <row r="104" spans="17:46" x14ac:dyDescent="0.25">
      <c r="Q104">
        <v>97</v>
      </c>
      <c r="R104" s="39">
        <f t="shared" si="45"/>
        <v>53.5</v>
      </c>
      <c r="S104" s="37">
        <f t="shared" si="73"/>
        <v>3.88</v>
      </c>
      <c r="T104" s="37">
        <f t="shared" si="47"/>
        <v>15</v>
      </c>
      <c r="U104" s="40">
        <f t="shared" si="74"/>
        <v>15.376296296296296</v>
      </c>
      <c r="V104" s="39">
        <f t="shared" si="75"/>
        <v>2</v>
      </c>
      <c r="W104" s="37">
        <f t="shared" si="76"/>
        <v>0.71962616822429903</v>
      </c>
      <c r="X104" s="40">
        <f t="shared" si="77"/>
        <v>0.28037383177570097</v>
      </c>
      <c r="Y104" s="39">
        <f t="shared" si="78"/>
        <v>13.629283489096572</v>
      </c>
      <c r="Z104" s="37">
        <f t="shared" si="71"/>
        <v>22.190938040844582</v>
      </c>
      <c r="AA104" s="37">
        <f t="shared" si="72"/>
        <v>15.871681337957716</v>
      </c>
      <c r="AB104" s="37">
        <v>0</v>
      </c>
      <c r="AC104" s="37">
        <f t="shared" si="79"/>
        <v>0.50382053698735052</v>
      </c>
      <c r="AD104" s="40">
        <f t="shared" si="62"/>
        <v>0.50382053698735052</v>
      </c>
      <c r="AE104" s="39">
        <f t="shared" si="70"/>
        <v>11.065185185185184</v>
      </c>
      <c r="AF104" s="37">
        <f t="shared" si="63"/>
        <v>13.46407149611357</v>
      </c>
      <c r="AG104" s="37">
        <f t="shared" si="80"/>
        <v>0</v>
      </c>
      <c r="AH104" s="37">
        <f t="shared" si="81"/>
        <v>31.679542837071669</v>
      </c>
      <c r="AI104" s="40">
        <f t="shared" si="64"/>
        <v>31.679542837071669</v>
      </c>
      <c r="AJ104" s="39">
        <f t="shared" si="65"/>
        <v>4.3111111111111118</v>
      </c>
      <c r="AK104" s="37">
        <f t="shared" si="82"/>
        <v>8.4041089498659751</v>
      </c>
      <c r="AL104" s="37">
        <f t="shared" si="83"/>
        <v>2.2504</v>
      </c>
      <c r="AM104" s="37">
        <f t="shared" si="84"/>
        <v>1.1897599999999999</v>
      </c>
      <c r="AN104" s="40">
        <f t="shared" si="66"/>
        <v>3.4401599999999997</v>
      </c>
      <c r="AO104" s="39">
        <f t="shared" si="85"/>
        <v>0.2719218318786869</v>
      </c>
      <c r="AP104" s="37">
        <f t="shared" si="86"/>
        <v>0.58509</v>
      </c>
      <c r="AQ104" s="40">
        <f t="shared" si="87"/>
        <v>6.7499999999999999E-3</v>
      </c>
      <c r="AR104" s="39">
        <f t="shared" si="67"/>
        <v>36.487285205937702</v>
      </c>
      <c r="AS104" s="37">
        <f t="shared" si="68"/>
        <v>207.57999999999998</v>
      </c>
      <c r="AT104" s="40">
        <f t="shared" si="69"/>
        <v>85.050317097946717</v>
      </c>
    </row>
    <row r="105" spans="17:46" x14ac:dyDescent="0.25">
      <c r="Q105">
        <v>98</v>
      </c>
      <c r="R105" s="39">
        <f t="shared" si="45"/>
        <v>53.5</v>
      </c>
      <c r="S105" s="37">
        <f t="shared" si="73"/>
        <v>3.92</v>
      </c>
      <c r="T105" s="37">
        <f t="shared" si="47"/>
        <v>15</v>
      </c>
      <c r="U105" s="40">
        <f t="shared" si="74"/>
        <v>15.534814814814816</v>
      </c>
      <c r="V105" s="39">
        <f t="shared" si="75"/>
        <v>2</v>
      </c>
      <c r="W105" s="37">
        <f t="shared" si="76"/>
        <v>0.71962616822429903</v>
      </c>
      <c r="X105" s="40">
        <f t="shared" si="77"/>
        <v>0.28037383177570097</v>
      </c>
      <c r="Y105" s="39">
        <f t="shared" si="78"/>
        <v>13.629283489096572</v>
      </c>
      <c r="Z105" s="37">
        <f t="shared" si="71"/>
        <v>22.349456559363102</v>
      </c>
      <c r="AA105" s="37">
        <f t="shared" si="72"/>
        <v>16.025300372622347</v>
      </c>
      <c r="AB105" s="37">
        <v>0</v>
      </c>
      <c r="AC105" s="37">
        <f t="shared" si="79"/>
        <v>0.51362050406553994</v>
      </c>
      <c r="AD105" s="40">
        <f t="shared" si="62"/>
        <v>0.51362050406553994</v>
      </c>
      <c r="AE105" s="39">
        <f t="shared" si="70"/>
        <v>11.179259259259259</v>
      </c>
      <c r="AF105" s="37">
        <f t="shared" si="63"/>
        <v>13.594387725493881</v>
      </c>
      <c r="AG105" s="37">
        <f t="shared" si="80"/>
        <v>0</v>
      </c>
      <c r="AH105" s="37">
        <f t="shared" si="81"/>
        <v>32.00613606219612</v>
      </c>
      <c r="AI105" s="40">
        <f t="shared" si="64"/>
        <v>32.00613606219612</v>
      </c>
      <c r="AJ105" s="39">
        <f t="shared" si="65"/>
        <v>4.3555555555555561</v>
      </c>
      <c r="AK105" s="37">
        <f t="shared" si="82"/>
        <v>8.4854507482932924</v>
      </c>
      <c r="AL105" s="37">
        <f t="shared" si="83"/>
        <v>2.2735999999999996</v>
      </c>
      <c r="AM105" s="37">
        <f t="shared" si="84"/>
        <v>1.1897599999999999</v>
      </c>
      <c r="AN105" s="40">
        <f t="shared" si="66"/>
        <v>3.4633599999999998</v>
      </c>
      <c r="AO105" s="39">
        <f t="shared" si="85"/>
        <v>0.27721106644658805</v>
      </c>
      <c r="AP105" s="37">
        <f t="shared" si="86"/>
        <v>0.58509</v>
      </c>
      <c r="AQ105" s="40">
        <f t="shared" si="87"/>
        <v>6.7499999999999999E-3</v>
      </c>
      <c r="AR105" s="39">
        <f t="shared" si="67"/>
        <v>36.852167632708252</v>
      </c>
      <c r="AS105" s="37">
        <f t="shared" si="68"/>
        <v>209.72</v>
      </c>
      <c r="AT105" s="40">
        <f t="shared" si="69"/>
        <v>85.054206244557619</v>
      </c>
    </row>
    <row r="106" spans="17:46" x14ac:dyDescent="0.25">
      <c r="Q106">
        <v>99</v>
      </c>
      <c r="R106" s="39">
        <f t="shared" si="45"/>
        <v>53.5</v>
      </c>
      <c r="S106" s="37">
        <f t="shared" si="73"/>
        <v>3.96</v>
      </c>
      <c r="T106" s="37">
        <f t="shared" si="47"/>
        <v>15</v>
      </c>
      <c r="U106" s="40">
        <f t="shared" si="74"/>
        <v>15.693333333333332</v>
      </c>
      <c r="V106" s="39">
        <f t="shared" si="75"/>
        <v>2</v>
      </c>
      <c r="W106" s="37">
        <f t="shared" si="76"/>
        <v>0.71962616822429903</v>
      </c>
      <c r="X106" s="40">
        <f t="shared" si="77"/>
        <v>0.28037383177570097</v>
      </c>
      <c r="Y106" s="39">
        <f t="shared" si="78"/>
        <v>13.629283489096572</v>
      </c>
      <c r="Z106" s="37">
        <f t="shared" si="71"/>
        <v>22.507975077881618</v>
      </c>
      <c r="AA106" s="37">
        <f t="shared" si="72"/>
        <v>16.179013932044533</v>
      </c>
      <c r="AB106" s="37">
        <v>0</v>
      </c>
      <c r="AC106" s="37">
        <f t="shared" si="79"/>
        <v>0.52352098362658228</v>
      </c>
      <c r="AD106" s="40">
        <f t="shared" si="62"/>
        <v>0.52352098362658228</v>
      </c>
      <c r="AE106" s="39">
        <f t="shared" si="70"/>
        <v>11.293333333333331</v>
      </c>
      <c r="AF106" s="37">
        <f t="shared" si="63"/>
        <v>13.724784140965811</v>
      </c>
      <c r="AG106" s="37">
        <f t="shared" si="80"/>
        <v>0</v>
      </c>
      <c r="AH106" s="37">
        <f t="shared" si="81"/>
        <v>32.332729287320568</v>
      </c>
      <c r="AI106" s="40">
        <f t="shared" si="64"/>
        <v>32.332729287320568</v>
      </c>
      <c r="AJ106" s="39">
        <f t="shared" si="65"/>
        <v>4.4000000000000004</v>
      </c>
      <c r="AK106" s="37">
        <f t="shared" si="82"/>
        <v>8.5668425978994378</v>
      </c>
      <c r="AL106" s="37">
        <f t="shared" si="83"/>
        <v>2.2967999999999997</v>
      </c>
      <c r="AM106" s="37">
        <f t="shared" si="84"/>
        <v>1.1897599999999999</v>
      </c>
      <c r="AN106" s="40">
        <f t="shared" si="66"/>
        <v>3.4865599999999999</v>
      </c>
      <c r="AO106" s="39">
        <f t="shared" si="85"/>
        <v>0.28255454957415999</v>
      </c>
      <c r="AP106" s="37">
        <f t="shared" si="86"/>
        <v>0.58509</v>
      </c>
      <c r="AQ106" s="40">
        <f t="shared" si="87"/>
        <v>6.7499999999999999E-3</v>
      </c>
      <c r="AR106" s="39">
        <f t="shared" si="67"/>
        <v>37.21720482052131</v>
      </c>
      <c r="AS106" s="37">
        <f t="shared" si="68"/>
        <v>211.85999999999999</v>
      </c>
      <c r="AT106" s="40">
        <f t="shared" si="69"/>
        <v>85.057964317794927</v>
      </c>
    </row>
    <row r="107" spans="17:46" x14ac:dyDescent="0.25">
      <c r="Q107">
        <v>100</v>
      </c>
      <c r="R107" s="39">
        <f t="shared" si="45"/>
        <v>53.5</v>
      </c>
      <c r="S107" s="37">
        <f t="shared" si="73"/>
        <v>4</v>
      </c>
      <c r="T107" s="37">
        <f t="shared" si="47"/>
        <v>15</v>
      </c>
      <c r="U107" s="40">
        <f t="shared" si="74"/>
        <v>15.851851851851851</v>
      </c>
      <c r="V107" s="39">
        <f t="shared" si="75"/>
        <v>2</v>
      </c>
      <c r="W107" s="37">
        <f t="shared" si="76"/>
        <v>0.71962616822429903</v>
      </c>
      <c r="X107" s="40">
        <f t="shared" si="77"/>
        <v>0.28037383177570097</v>
      </c>
      <c r="Y107" s="39">
        <f t="shared" si="78"/>
        <v>13.629283489096572</v>
      </c>
      <c r="Z107" s="37">
        <f t="shared" si="71"/>
        <v>22.666493596400137</v>
      </c>
      <c r="AA107" s="37">
        <f t="shared" si="72"/>
        <v>16.332819347413324</v>
      </c>
      <c r="AB107" s="37">
        <v>0</v>
      </c>
      <c r="AC107" s="37">
        <f t="shared" si="79"/>
        <v>0.53352197567047799</v>
      </c>
      <c r="AD107" s="40">
        <f t="shared" si="62"/>
        <v>0.53352197567047799</v>
      </c>
      <c r="AE107" s="39">
        <f t="shared" si="70"/>
        <v>11.407407407407407</v>
      </c>
      <c r="AF107" s="37">
        <f t="shared" si="63"/>
        <v>13.855258478556145</v>
      </c>
      <c r="AG107" s="37">
        <f t="shared" si="80"/>
        <v>0</v>
      </c>
      <c r="AH107" s="37">
        <f t="shared" si="81"/>
        <v>32.659322512445016</v>
      </c>
      <c r="AI107" s="40">
        <f t="shared" si="64"/>
        <v>32.659322512445016</v>
      </c>
      <c r="AJ107" s="39">
        <f t="shared" si="65"/>
        <v>4.4444444444444446</v>
      </c>
      <c r="AK107" s="37">
        <f t="shared" si="82"/>
        <v>8.6482830855399921</v>
      </c>
      <c r="AL107" s="37">
        <f t="shared" si="83"/>
        <v>2.3199999999999998</v>
      </c>
      <c r="AM107" s="37">
        <f t="shared" si="84"/>
        <v>1.1897599999999999</v>
      </c>
      <c r="AN107" s="40">
        <f t="shared" si="66"/>
        <v>3.50976</v>
      </c>
      <c r="AO107" s="39">
        <f t="shared" si="85"/>
        <v>0.28795228126140293</v>
      </c>
      <c r="AP107" s="37">
        <f t="shared" si="86"/>
        <v>0.58509</v>
      </c>
      <c r="AQ107" s="40">
        <f t="shared" si="87"/>
        <v>6.7499999999999999E-3</v>
      </c>
      <c r="AR107" s="39">
        <f t="shared" si="67"/>
        <v>37.582396769376892</v>
      </c>
      <c r="AS107" s="37">
        <f t="shared" si="68"/>
        <v>214</v>
      </c>
      <c r="AT107" s="40">
        <f t="shared" si="69"/>
        <v>85.061595226064924</v>
      </c>
    </row>
    <row r="108" spans="17:46" x14ac:dyDescent="0.25">
      <c r="Q108">
        <v>101</v>
      </c>
      <c r="R108" s="39">
        <f t="shared" si="45"/>
        <v>53.5</v>
      </c>
      <c r="S108" s="37">
        <f t="shared" si="73"/>
        <v>4.04</v>
      </c>
      <c r="T108" s="37">
        <f t="shared" si="47"/>
        <v>15</v>
      </c>
      <c r="U108" s="40">
        <f t="shared" si="74"/>
        <v>16.010370370370371</v>
      </c>
      <c r="V108" s="39">
        <f t="shared" si="75"/>
        <v>2</v>
      </c>
      <c r="W108" s="37">
        <f t="shared" si="76"/>
        <v>0.71962616822429903</v>
      </c>
      <c r="X108" s="40">
        <f t="shared" si="77"/>
        <v>0.28037383177570097</v>
      </c>
      <c r="Y108" s="39">
        <f t="shared" si="78"/>
        <v>13.629283489096572</v>
      </c>
      <c r="Z108" s="37">
        <f t="shared" si="71"/>
        <v>22.825012114918657</v>
      </c>
      <c r="AA108" s="37">
        <f t="shared" si="72"/>
        <v>16.486714047942165</v>
      </c>
      <c r="AB108" s="37">
        <v>0</v>
      </c>
      <c r="AC108" s="37">
        <f t="shared" si="79"/>
        <v>0.54362348019722706</v>
      </c>
      <c r="AD108" s="40">
        <f t="shared" si="62"/>
        <v>0.54362348019722706</v>
      </c>
      <c r="AE108" s="39">
        <f t="shared" si="70"/>
        <v>11.521481481481482</v>
      </c>
      <c r="AF108" s="37">
        <f t="shared" si="63"/>
        <v>13.985808557446521</v>
      </c>
      <c r="AG108" s="37">
        <f t="shared" si="80"/>
        <v>0</v>
      </c>
      <c r="AH108" s="37">
        <f t="shared" si="81"/>
        <v>32.985915737569464</v>
      </c>
      <c r="AI108" s="40">
        <f t="shared" si="64"/>
        <v>32.985915737569464</v>
      </c>
      <c r="AJ108" s="39">
        <f t="shared" si="65"/>
        <v>4.4888888888888898</v>
      </c>
      <c r="AK108" s="37">
        <f t="shared" si="82"/>
        <v>8.7297708499747717</v>
      </c>
      <c r="AL108" s="37">
        <f t="shared" si="83"/>
        <v>2.3431999999999999</v>
      </c>
      <c r="AM108" s="37">
        <f t="shared" si="84"/>
        <v>1.1897599999999999</v>
      </c>
      <c r="AN108" s="40">
        <f t="shared" si="66"/>
        <v>3.5329600000000001</v>
      </c>
      <c r="AO108" s="39">
        <f t="shared" si="85"/>
        <v>0.29340426150831656</v>
      </c>
      <c r="AP108" s="37">
        <f t="shared" si="86"/>
        <v>0.58509</v>
      </c>
      <c r="AQ108" s="40">
        <f t="shared" si="87"/>
        <v>6.7499999999999999E-3</v>
      </c>
      <c r="AR108" s="39">
        <f t="shared" si="67"/>
        <v>37.947743479275005</v>
      </c>
      <c r="AS108" s="37">
        <f t="shared" si="68"/>
        <v>216.14000000000001</v>
      </c>
      <c r="AT108" s="40">
        <f t="shared" si="69"/>
        <v>85.065102724102758</v>
      </c>
    </row>
    <row r="109" spans="17:46" x14ac:dyDescent="0.25">
      <c r="Q109">
        <v>102</v>
      </c>
      <c r="R109" s="39">
        <f t="shared" si="45"/>
        <v>53.5</v>
      </c>
      <c r="S109" s="37">
        <f t="shared" si="73"/>
        <v>4.08</v>
      </c>
      <c r="T109" s="37">
        <f t="shared" si="47"/>
        <v>15</v>
      </c>
      <c r="U109" s="40">
        <f t="shared" si="74"/>
        <v>16.16888888888889</v>
      </c>
      <c r="V109" s="39">
        <f t="shared" si="75"/>
        <v>2</v>
      </c>
      <c r="W109" s="37">
        <f t="shared" si="76"/>
        <v>0.71962616822429903</v>
      </c>
      <c r="X109" s="40">
        <f t="shared" si="77"/>
        <v>0.28037383177570097</v>
      </c>
      <c r="Y109" s="39">
        <f t="shared" si="78"/>
        <v>13.629283489096572</v>
      </c>
      <c r="Z109" s="37">
        <f t="shared" si="71"/>
        <v>22.983530633437177</v>
      </c>
      <c r="AA109" s="37">
        <f t="shared" si="72"/>
        <v>16.640695556478843</v>
      </c>
      <c r="AB109" s="37">
        <v>0</v>
      </c>
      <c r="AC109" s="37">
        <f t="shared" si="79"/>
        <v>0.55382549720682939</v>
      </c>
      <c r="AD109" s="40">
        <f t="shared" si="62"/>
        <v>0.55382549720682939</v>
      </c>
      <c r="AE109" s="39">
        <f t="shared" si="70"/>
        <v>11.635555555555555</v>
      </c>
      <c r="AF109" s="37">
        <f t="shared" si="63"/>
        <v>14.116432276249332</v>
      </c>
      <c r="AG109" s="37">
        <f t="shared" si="80"/>
        <v>0</v>
      </c>
      <c r="AH109" s="37">
        <f t="shared" si="81"/>
        <v>33.312508962693926</v>
      </c>
      <c r="AI109" s="40">
        <f t="shared" si="64"/>
        <v>33.312508962693926</v>
      </c>
      <c r="AJ109" s="39">
        <f t="shared" si="65"/>
        <v>4.5333333333333341</v>
      </c>
      <c r="AK109" s="37">
        <f t="shared" si="82"/>
        <v>8.8113045795433003</v>
      </c>
      <c r="AL109" s="37">
        <f t="shared" si="83"/>
        <v>2.3664000000000001</v>
      </c>
      <c r="AM109" s="37">
        <f t="shared" si="84"/>
        <v>1.1897599999999999</v>
      </c>
      <c r="AN109" s="40">
        <f t="shared" si="66"/>
        <v>3.5561600000000002</v>
      </c>
      <c r="AO109" s="39">
        <f t="shared" si="85"/>
        <v>0.29891049031490086</v>
      </c>
      <c r="AP109" s="37">
        <f t="shared" si="86"/>
        <v>0.58509</v>
      </c>
      <c r="AQ109" s="40">
        <f t="shared" si="87"/>
        <v>6.7499999999999999E-3</v>
      </c>
      <c r="AR109" s="39">
        <f t="shared" si="67"/>
        <v>38.313244950215655</v>
      </c>
      <c r="AS109" s="37">
        <f t="shared" si="68"/>
        <v>218.28</v>
      </c>
      <c r="AT109" s="40">
        <f t="shared" si="69"/>
        <v>85.068490420451553</v>
      </c>
    </row>
    <row r="110" spans="17:46" x14ac:dyDescent="0.25">
      <c r="Q110">
        <v>103</v>
      </c>
      <c r="R110" s="39">
        <f t="shared" si="45"/>
        <v>53.5</v>
      </c>
      <c r="S110" s="37">
        <f t="shared" si="73"/>
        <v>4.12</v>
      </c>
      <c r="T110" s="37">
        <f t="shared" si="47"/>
        <v>15</v>
      </c>
      <c r="U110" s="40">
        <f t="shared" si="74"/>
        <v>16.32740740740741</v>
      </c>
      <c r="V110" s="39">
        <f t="shared" si="75"/>
        <v>2</v>
      </c>
      <c r="W110" s="37">
        <f t="shared" si="76"/>
        <v>0.71962616822429903</v>
      </c>
      <c r="X110" s="40">
        <f t="shared" si="77"/>
        <v>0.28037383177570097</v>
      </c>
      <c r="Y110" s="39">
        <f t="shared" si="78"/>
        <v>13.629283489096572</v>
      </c>
      <c r="Z110" s="37">
        <f t="shared" si="71"/>
        <v>23.142049151955696</v>
      </c>
      <c r="AA110" s="37">
        <f t="shared" si="72"/>
        <v>16.794761485345436</v>
      </c>
      <c r="AB110" s="37">
        <v>0</v>
      </c>
      <c r="AC110" s="37">
        <f t="shared" si="79"/>
        <v>0.56412802669928486</v>
      </c>
      <c r="AD110" s="40">
        <f t="shared" si="62"/>
        <v>0.56412802669928486</v>
      </c>
      <c r="AE110" s="39">
        <f t="shared" si="70"/>
        <v>11.749629629629631</v>
      </c>
      <c r="AF110" s="37">
        <f t="shared" si="63"/>
        <v>14.247127609478715</v>
      </c>
      <c r="AG110" s="37">
        <f t="shared" si="80"/>
        <v>0</v>
      </c>
      <c r="AH110" s="37">
        <f t="shared" si="81"/>
        <v>33.639102187818374</v>
      </c>
      <c r="AI110" s="40">
        <f t="shared" si="64"/>
        <v>33.639102187818374</v>
      </c>
      <c r="AJ110" s="39">
        <f t="shared" si="65"/>
        <v>4.5777777777777793</v>
      </c>
      <c r="AK110" s="37">
        <f t="shared" si="82"/>
        <v>8.8928830099620502</v>
      </c>
      <c r="AL110" s="37">
        <f t="shared" si="83"/>
        <v>2.3895999999999997</v>
      </c>
      <c r="AM110" s="37">
        <f t="shared" si="84"/>
        <v>1.1897599999999999</v>
      </c>
      <c r="AN110" s="40">
        <f t="shared" si="66"/>
        <v>3.5793599999999994</v>
      </c>
      <c r="AO110" s="39">
        <f t="shared" si="85"/>
        <v>0.30447096768115606</v>
      </c>
      <c r="AP110" s="37">
        <f t="shared" si="86"/>
        <v>0.58509</v>
      </c>
      <c r="AQ110" s="40">
        <f t="shared" si="87"/>
        <v>6.7499999999999999E-3</v>
      </c>
      <c r="AR110" s="39">
        <f t="shared" si="67"/>
        <v>38.678901182198814</v>
      </c>
      <c r="AS110" s="37">
        <f t="shared" si="68"/>
        <v>220.42000000000002</v>
      </c>
      <c r="AT110" s="40">
        <f t="shared" si="69"/>
        <v>85.071761784508809</v>
      </c>
    </row>
    <row r="111" spans="17:46" x14ac:dyDescent="0.25">
      <c r="Q111">
        <v>104</v>
      </c>
      <c r="R111" s="39">
        <f t="shared" si="45"/>
        <v>53.5</v>
      </c>
      <c r="S111" s="37">
        <f t="shared" si="73"/>
        <v>4.16</v>
      </c>
      <c r="T111" s="37">
        <f t="shared" si="47"/>
        <v>15</v>
      </c>
      <c r="U111" s="40">
        <f t="shared" si="74"/>
        <v>16.485925925925926</v>
      </c>
      <c r="V111" s="39">
        <f t="shared" si="75"/>
        <v>2</v>
      </c>
      <c r="W111" s="37">
        <f t="shared" si="76"/>
        <v>0.71962616822429903</v>
      </c>
      <c r="X111" s="40">
        <f t="shared" si="77"/>
        <v>0.28037383177570097</v>
      </c>
      <c r="Y111" s="39">
        <f t="shared" si="78"/>
        <v>13.629283489096572</v>
      </c>
      <c r="Z111" s="37">
        <f t="shared" si="71"/>
        <v>23.300567670474212</v>
      </c>
      <c r="AA111" s="37">
        <f t="shared" si="72"/>
        <v>16.948909532394602</v>
      </c>
      <c r="AB111" s="37">
        <v>0</v>
      </c>
      <c r="AC111" s="37">
        <f t="shared" si="79"/>
        <v>0.57453106867459314</v>
      </c>
      <c r="AD111" s="40">
        <f t="shared" si="62"/>
        <v>0.57453106867459314</v>
      </c>
      <c r="AE111" s="39">
        <f t="shared" si="70"/>
        <v>11.863703703703703</v>
      </c>
      <c r="AF111" s="37">
        <f t="shared" si="63"/>
        <v>14.377892604205062</v>
      </c>
      <c r="AG111" s="37">
        <f t="shared" si="80"/>
        <v>0</v>
      </c>
      <c r="AH111" s="37">
        <f t="shared" si="81"/>
        <v>33.965695412942814</v>
      </c>
      <c r="AI111" s="40">
        <f t="shared" si="64"/>
        <v>33.965695412942814</v>
      </c>
      <c r="AJ111" s="39">
        <f t="shared" si="65"/>
        <v>4.6222222222222227</v>
      </c>
      <c r="AK111" s="37">
        <f t="shared" si="82"/>
        <v>8.9745049222362159</v>
      </c>
      <c r="AL111" s="37">
        <f t="shared" si="83"/>
        <v>2.4127999999999998</v>
      </c>
      <c r="AM111" s="37">
        <f t="shared" si="84"/>
        <v>1.1897599999999999</v>
      </c>
      <c r="AN111" s="40">
        <f t="shared" si="66"/>
        <v>3.6025599999999995</v>
      </c>
      <c r="AO111" s="39">
        <f t="shared" si="85"/>
        <v>0.31008569360708194</v>
      </c>
      <c r="AP111" s="37">
        <f t="shared" si="86"/>
        <v>0.58509</v>
      </c>
      <c r="AQ111" s="40">
        <f t="shared" si="87"/>
        <v>6.7499999999999999E-3</v>
      </c>
      <c r="AR111" s="39">
        <f t="shared" si="67"/>
        <v>39.04471217522449</v>
      </c>
      <c r="AS111" s="37">
        <f t="shared" si="68"/>
        <v>222.56</v>
      </c>
      <c r="AT111" s="40">
        <f t="shared" si="69"/>
        <v>85.07492015316906</v>
      </c>
    </row>
    <row r="112" spans="17:46" x14ac:dyDescent="0.25">
      <c r="Q112">
        <v>105</v>
      </c>
      <c r="R112" s="39">
        <f t="shared" si="45"/>
        <v>53.5</v>
      </c>
      <c r="S112" s="37">
        <f t="shared" si="73"/>
        <v>4.2</v>
      </c>
      <c r="T112" s="37">
        <f t="shared" si="47"/>
        <v>15</v>
      </c>
      <c r="U112" s="40">
        <f t="shared" si="74"/>
        <v>16.644444444444446</v>
      </c>
      <c r="V112" s="39">
        <f t="shared" si="75"/>
        <v>2</v>
      </c>
      <c r="W112" s="37">
        <f t="shared" si="76"/>
        <v>0.71962616822429903</v>
      </c>
      <c r="X112" s="40">
        <f t="shared" si="77"/>
        <v>0.28037383177570097</v>
      </c>
      <c r="Y112" s="39">
        <f t="shared" si="78"/>
        <v>13.629283489096572</v>
      </c>
      <c r="Z112" s="37">
        <f t="shared" si="71"/>
        <v>23.459086188992732</v>
      </c>
      <c r="AA112" s="37">
        <f t="shared" si="72"/>
        <v>17.103137477269414</v>
      </c>
      <c r="AB112" s="37">
        <v>0</v>
      </c>
      <c r="AC112" s="37">
        <f t="shared" si="79"/>
        <v>0.58503462313275512</v>
      </c>
      <c r="AD112" s="40">
        <f t="shared" si="62"/>
        <v>0.58503462313275512</v>
      </c>
      <c r="AE112" s="39">
        <f t="shared" si="70"/>
        <v>11.977777777777778</v>
      </c>
      <c r="AF112" s="37">
        <f t="shared" si="63"/>
        <v>14.508725376882207</v>
      </c>
      <c r="AG112" s="37">
        <f t="shared" si="80"/>
        <v>0</v>
      </c>
      <c r="AH112" s="37">
        <f t="shared" si="81"/>
        <v>34.292288638067276</v>
      </c>
      <c r="AI112" s="40">
        <f t="shared" si="64"/>
        <v>34.292288638067276</v>
      </c>
      <c r="AJ112" s="39">
        <f t="shared" si="65"/>
        <v>4.6666666666666679</v>
      </c>
      <c r="AK112" s="37">
        <f t="shared" si="82"/>
        <v>9.0561691406792892</v>
      </c>
      <c r="AL112" s="37">
        <f t="shared" si="83"/>
        <v>2.4359999999999999</v>
      </c>
      <c r="AM112" s="37">
        <f t="shared" si="84"/>
        <v>1.1897599999999999</v>
      </c>
      <c r="AN112" s="40">
        <f t="shared" si="66"/>
        <v>3.6257599999999996</v>
      </c>
      <c r="AO112" s="39">
        <f t="shared" si="85"/>
        <v>0.3157546680926786</v>
      </c>
      <c r="AP112" s="37">
        <f t="shared" si="86"/>
        <v>0.58509</v>
      </c>
      <c r="AQ112" s="40">
        <f t="shared" si="87"/>
        <v>6.7499999999999999E-3</v>
      </c>
      <c r="AR112" s="39">
        <f t="shared" si="67"/>
        <v>39.41067792929271</v>
      </c>
      <c r="AS112" s="37">
        <f t="shared" si="68"/>
        <v>224.70000000000002</v>
      </c>
      <c r="AT112" s="40">
        <f t="shared" si="69"/>
        <v>85.077968737089975</v>
      </c>
    </row>
    <row r="113" spans="17:46" x14ac:dyDescent="0.25">
      <c r="Q113">
        <v>106</v>
      </c>
      <c r="R113" s="39">
        <f t="shared" si="45"/>
        <v>53.5</v>
      </c>
      <c r="S113" s="37">
        <f t="shared" si="73"/>
        <v>4.24</v>
      </c>
      <c r="T113" s="37">
        <f t="shared" si="47"/>
        <v>15</v>
      </c>
      <c r="U113" s="40">
        <f t="shared" si="74"/>
        <v>16.802962962962962</v>
      </c>
      <c r="V113" s="39">
        <f t="shared" si="75"/>
        <v>2</v>
      </c>
      <c r="W113" s="37">
        <f t="shared" si="76"/>
        <v>0.71962616822429903</v>
      </c>
      <c r="X113" s="40">
        <f t="shared" si="77"/>
        <v>0.28037383177570097</v>
      </c>
      <c r="Y113" s="39">
        <f t="shared" si="78"/>
        <v>13.629283489096572</v>
      </c>
      <c r="Z113" s="37">
        <f t="shared" si="71"/>
        <v>23.617604707511248</v>
      </c>
      <c r="AA113" s="37">
        <f t="shared" si="72"/>
        <v>17.257443177854739</v>
      </c>
      <c r="AB113" s="37">
        <v>0</v>
      </c>
      <c r="AC113" s="37">
        <f t="shared" si="79"/>
        <v>0.59563869007377013</v>
      </c>
      <c r="AD113" s="40">
        <f t="shared" si="62"/>
        <v>0.59563869007377013</v>
      </c>
      <c r="AE113" s="39">
        <f t="shared" si="70"/>
        <v>12.09185185185185</v>
      </c>
      <c r="AF113" s="37">
        <f t="shared" si="63"/>
        <v>14.639624110337126</v>
      </c>
      <c r="AG113" s="37">
        <f t="shared" si="80"/>
        <v>0</v>
      </c>
      <c r="AH113" s="37">
        <f t="shared" si="81"/>
        <v>34.618881863191717</v>
      </c>
      <c r="AI113" s="40">
        <f t="shared" si="64"/>
        <v>34.618881863191717</v>
      </c>
      <c r="AJ113" s="39">
        <f t="shared" si="65"/>
        <v>4.7111111111111112</v>
      </c>
      <c r="AK113" s="37">
        <f t="shared" si="82"/>
        <v>9.1378745310340665</v>
      </c>
      <c r="AL113" s="37">
        <f t="shared" si="83"/>
        <v>2.4592000000000001</v>
      </c>
      <c r="AM113" s="37">
        <f t="shared" si="84"/>
        <v>1.1897599999999999</v>
      </c>
      <c r="AN113" s="40">
        <f t="shared" si="66"/>
        <v>3.6489599999999998</v>
      </c>
      <c r="AO113" s="39">
        <f t="shared" si="85"/>
        <v>0.32147789113794611</v>
      </c>
      <c r="AP113" s="37">
        <f t="shared" si="86"/>
        <v>0.58509</v>
      </c>
      <c r="AQ113" s="40">
        <f t="shared" si="87"/>
        <v>6.7499999999999999E-3</v>
      </c>
      <c r="AR113" s="39">
        <f t="shared" si="67"/>
        <v>39.776798444403433</v>
      </c>
      <c r="AS113" s="37">
        <f t="shared" si="68"/>
        <v>226.84</v>
      </c>
      <c r="AT113" s="40">
        <f t="shared" si="69"/>
        <v>85.080910626605572</v>
      </c>
    </row>
    <row r="114" spans="17:46" x14ac:dyDescent="0.25">
      <c r="Q114">
        <v>107</v>
      </c>
      <c r="R114" s="39">
        <f t="shared" si="45"/>
        <v>53.5</v>
      </c>
      <c r="S114" s="37">
        <f t="shared" si="73"/>
        <v>4.28</v>
      </c>
      <c r="T114" s="37">
        <f t="shared" si="47"/>
        <v>15</v>
      </c>
      <c r="U114" s="40">
        <f t="shared" si="74"/>
        <v>16.961481481481481</v>
      </c>
      <c r="V114" s="39">
        <f t="shared" si="75"/>
        <v>2</v>
      </c>
      <c r="W114" s="37">
        <f t="shared" si="76"/>
        <v>0.71962616822429903</v>
      </c>
      <c r="X114" s="40">
        <f t="shared" si="77"/>
        <v>0.28037383177570097</v>
      </c>
      <c r="Y114" s="39">
        <f t="shared" si="78"/>
        <v>13.629283489096572</v>
      </c>
      <c r="Z114" s="37">
        <f t="shared" si="71"/>
        <v>23.776123226029767</v>
      </c>
      <c r="AA114" s="37">
        <f t="shared" si="72"/>
        <v>17.4118245669091</v>
      </c>
      <c r="AB114" s="37">
        <v>0</v>
      </c>
      <c r="AC114" s="37">
        <f t="shared" si="79"/>
        <v>0.6063432694976385</v>
      </c>
      <c r="AD114" s="40">
        <f t="shared" si="62"/>
        <v>0.6063432694976385</v>
      </c>
      <c r="AE114" s="39">
        <f t="shared" si="70"/>
        <v>12.205925925925925</v>
      </c>
      <c r="AF114" s="37">
        <f t="shared" si="63"/>
        <v>14.770587050912688</v>
      </c>
      <c r="AG114" s="37">
        <f t="shared" si="80"/>
        <v>0</v>
      </c>
      <c r="AH114" s="37">
        <f t="shared" si="81"/>
        <v>34.945475088316172</v>
      </c>
      <c r="AI114" s="40">
        <f t="shared" si="64"/>
        <v>34.945475088316172</v>
      </c>
      <c r="AJ114" s="39">
        <f t="shared" si="65"/>
        <v>4.7555555555555564</v>
      </c>
      <c r="AK114" s="37">
        <f t="shared" si="82"/>
        <v>9.2196199986891934</v>
      </c>
      <c r="AL114" s="37">
        <f t="shared" si="83"/>
        <v>2.4824000000000002</v>
      </c>
      <c r="AM114" s="37">
        <f t="shared" si="84"/>
        <v>1.1897599999999999</v>
      </c>
      <c r="AN114" s="40">
        <f t="shared" si="66"/>
        <v>3.6721599999999999</v>
      </c>
      <c r="AO114" s="39">
        <f t="shared" si="85"/>
        <v>0.32725536274288436</v>
      </c>
      <c r="AP114" s="37">
        <f t="shared" si="86"/>
        <v>0.58509</v>
      </c>
      <c r="AQ114" s="40">
        <f t="shared" si="87"/>
        <v>6.7499999999999999E-3</v>
      </c>
      <c r="AR114" s="39">
        <f t="shared" si="67"/>
        <v>40.143073720556693</v>
      </c>
      <c r="AS114" s="37">
        <f t="shared" si="68"/>
        <v>228.98000000000002</v>
      </c>
      <c r="AT114" s="40">
        <f t="shared" si="69"/>
        <v>85.083748797310804</v>
      </c>
    </row>
    <row r="115" spans="17:46" x14ac:dyDescent="0.25">
      <c r="Q115">
        <v>108</v>
      </c>
      <c r="R115" s="39">
        <f t="shared" si="45"/>
        <v>53.5</v>
      </c>
      <c r="S115" s="37">
        <f t="shared" si="73"/>
        <v>4.32</v>
      </c>
      <c r="T115" s="37">
        <f t="shared" si="47"/>
        <v>15</v>
      </c>
      <c r="U115" s="40">
        <f t="shared" si="74"/>
        <v>17.12</v>
      </c>
      <c r="V115" s="39">
        <f t="shared" si="75"/>
        <v>2</v>
      </c>
      <c r="W115" s="37">
        <f t="shared" si="76"/>
        <v>0.71962616822429903</v>
      </c>
      <c r="X115" s="40">
        <f t="shared" si="77"/>
        <v>0.28037383177570097</v>
      </c>
      <c r="Y115" s="39">
        <f t="shared" si="78"/>
        <v>13.629283489096572</v>
      </c>
      <c r="Z115" s="37">
        <f t="shared" si="71"/>
        <v>23.934641744548287</v>
      </c>
      <c r="AA115" s="37">
        <f t="shared" si="72"/>
        <v>17.566279648866463</v>
      </c>
      <c r="AB115" s="37">
        <v>0</v>
      </c>
      <c r="AC115" s="37">
        <f t="shared" si="79"/>
        <v>0.61714836140436014</v>
      </c>
      <c r="AD115" s="40">
        <f t="shared" si="62"/>
        <v>0.61714836140436014</v>
      </c>
      <c r="AE115" s="39">
        <f t="shared" si="70"/>
        <v>12.32</v>
      </c>
      <c r="AF115" s="37">
        <f t="shared" si="63"/>
        <v>14.901612505754612</v>
      </c>
      <c r="AG115" s="37">
        <f t="shared" si="80"/>
        <v>0</v>
      </c>
      <c r="AH115" s="37">
        <f t="shared" si="81"/>
        <v>35.272068313440627</v>
      </c>
      <c r="AI115" s="40">
        <f t="shared" si="64"/>
        <v>35.272068313440627</v>
      </c>
      <c r="AJ115" s="39">
        <f t="shared" si="65"/>
        <v>4.8000000000000007</v>
      </c>
      <c r="AK115" s="37">
        <f t="shared" si="82"/>
        <v>9.3014044869857031</v>
      </c>
      <c r="AL115" s="37">
        <f t="shared" si="83"/>
        <v>2.5055999999999998</v>
      </c>
      <c r="AM115" s="37">
        <f t="shared" si="84"/>
        <v>1.1897599999999999</v>
      </c>
      <c r="AN115" s="40">
        <f t="shared" si="66"/>
        <v>3.69536</v>
      </c>
      <c r="AO115" s="39">
        <f t="shared" si="85"/>
        <v>0.33308708290749334</v>
      </c>
      <c r="AP115" s="37">
        <f t="shared" si="86"/>
        <v>0.58509</v>
      </c>
      <c r="AQ115" s="40">
        <f t="shared" si="87"/>
        <v>6.7499999999999999E-3</v>
      </c>
      <c r="AR115" s="39">
        <f t="shared" si="67"/>
        <v>40.509503757752476</v>
      </c>
      <c r="AS115" s="37">
        <f t="shared" si="68"/>
        <v>231.12</v>
      </c>
      <c r="AT115" s="40">
        <f t="shared" si="69"/>
        <v>85.086486115337408</v>
      </c>
    </row>
    <row r="116" spans="17:46" x14ac:dyDescent="0.25">
      <c r="Q116">
        <v>109</v>
      </c>
      <c r="R116" s="39">
        <f t="shared" si="45"/>
        <v>53.5</v>
      </c>
      <c r="S116" s="37">
        <f t="shared" si="73"/>
        <v>4.3600000000000003</v>
      </c>
      <c r="T116" s="37">
        <f t="shared" si="47"/>
        <v>15</v>
      </c>
      <c r="U116" s="40">
        <f t="shared" si="74"/>
        <v>17.278518518518521</v>
      </c>
      <c r="V116" s="39">
        <f t="shared" si="75"/>
        <v>2</v>
      </c>
      <c r="W116" s="37">
        <f t="shared" si="76"/>
        <v>0.71962616822429903</v>
      </c>
      <c r="X116" s="40">
        <f t="shared" si="77"/>
        <v>0.28037383177570097</v>
      </c>
      <c r="Y116" s="39">
        <f t="shared" si="78"/>
        <v>13.629283489096572</v>
      </c>
      <c r="Z116" s="37">
        <f t="shared" si="71"/>
        <v>24.093160263066807</v>
      </c>
      <c r="AA116" s="37">
        <f t="shared" si="72"/>
        <v>17.720806496798264</v>
      </c>
      <c r="AB116" s="37">
        <v>0</v>
      </c>
      <c r="AC116" s="37">
        <f t="shared" si="79"/>
        <v>0.62805396579393513</v>
      </c>
      <c r="AD116" s="40">
        <f t="shared" si="62"/>
        <v>0.62805396579393513</v>
      </c>
      <c r="AE116" s="39">
        <f t="shared" si="70"/>
        <v>12.434074074074076</v>
      </c>
      <c r="AF116" s="37">
        <f t="shared" si="63"/>
        <v>15.032698840234316</v>
      </c>
      <c r="AG116" s="37">
        <f t="shared" si="80"/>
        <v>0</v>
      </c>
      <c r="AH116" s="37">
        <f t="shared" si="81"/>
        <v>35.598661538565075</v>
      </c>
      <c r="AI116" s="40">
        <f t="shared" si="64"/>
        <v>35.598661538565075</v>
      </c>
      <c r="AJ116" s="39">
        <f t="shared" si="65"/>
        <v>4.8444444444444459</v>
      </c>
      <c r="AK116" s="37">
        <f t="shared" si="82"/>
        <v>9.3832269756084052</v>
      </c>
      <c r="AL116" s="37">
        <f t="shared" si="83"/>
        <v>2.5287999999999999</v>
      </c>
      <c r="AM116" s="37">
        <f t="shared" si="84"/>
        <v>1.1897599999999999</v>
      </c>
      <c r="AN116" s="40">
        <f t="shared" si="66"/>
        <v>3.7185600000000001</v>
      </c>
      <c r="AO116" s="39">
        <f t="shared" si="85"/>
        <v>0.33897305163177321</v>
      </c>
      <c r="AP116" s="37">
        <f t="shared" si="86"/>
        <v>0.58509</v>
      </c>
      <c r="AQ116" s="40">
        <f t="shared" si="87"/>
        <v>6.7499999999999999E-3</v>
      </c>
      <c r="AR116" s="39">
        <f t="shared" si="67"/>
        <v>40.876088555990783</v>
      </c>
      <c r="AS116" s="37">
        <f t="shared" si="68"/>
        <v>233.26000000000002</v>
      </c>
      <c r="AT116" s="40">
        <f t="shared" si="69"/>
        <v>85.08912534234176</v>
      </c>
    </row>
    <row r="117" spans="17:46" x14ac:dyDescent="0.25">
      <c r="Q117">
        <v>110</v>
      </c>
      <c r="R117" s="39">
        <f t="shared" si="45"/>
        <v>53.5</v>
      </c>
      <c r="S117" s="37">
        <f t="shared" si="73"/>
        <v>4.4000000000000004</v>
      </c>
      <c r="T117" s="37">
        <f t="shared" si="47"/>
        <v>15</v>
      </c>
      <c r="U117" s="40">
        <f t="shared" si="74"/>
        <v>17.437037037037037</v>
      </c>
      <c r="V117" s="39">
        <f t="shared" si="75"/>
        <v>2</v>
      </c>
      <c r="W117" s="37">
        <f t="shared" si="76"/>
        <v>0.71962616822429903</v>
      </c>
      <c r="X117" s="40">
        <f t="shared" si="77"/>
        <v>0.28037383177570097</v>
      </c>
      <c r="Y117" s="39">
        <f t="shared" si="78"/>
        <v>13.629283489096572</v>
      </c>
      <c r="Z117" s="37">
        <f t="shared" si="71"/>
        <v>24.251678781585323</v>
      </c>
      <c r="AA117" s="37">
        <f t="shared" si="72"/>
        <v>17.875403249526467</v>
      </c>
      <c r="AB117" s="37">
        <v>0</v>
      </c>
      <c r="AC117" s="37">
        <f t="shared" si="79"/>
        <v>0.63906008266636272</v>
      </c>
      <c r="AD117" s="40">
        <f t="shared" si="62"/>
        <v>0.63906008266636272</v>
      </c>
      <c r="AE117" s="39">
        <f t="shared" si="70"/>
        <v>12.548148148148147</v>
      </c>
      <c r="AF117" s="37">
        <f t="shared" si="63"/>
        <v>15.163844475499912</v>
      </c>
      <c r="AG117" s="37">
        <f t="shared" si="80"/>
        <v>0</v>
      </c>
      <c r="AH117" s="37">
        <f t="shared" si="81"/>
        <v>35.925254763689523</v>
      </c>
      <c r="AI117" s="40">
        <f t="shared" si="64"/>
        <v>35.925254763689523</v>
      </c>
      <c r="AJ117" s="39">
        <f t="shared" si="65"/>
        <v>4.8888888888888893</v>
      </c>
      <c r="AK117" s="37">
        <f t="shared" si="82"/>
        <v>9.4650864790572395</v>
      </c>
      <c r="AL117" s="37">
        <f t="shared" si="83"/>
        <v>2.552</v>
      </c>
      <c r="AM117" s="37">
        <f t="shared" si="84"/>
        <v>1.1897599999999999</v>
      </c>
      <c r="AN117" s="40">
        <f t="shared" si="66"/>
        <v>3.7417600000000002</v>
      </c>
      <c r="AO117" s="39">
        <f t="shared" si="85"/>
        <v>0.34491326891572383</v>
      </c>
      <c r="AP117" s="37">
        <f t="shared" si="86"/>
        <v>0.58509</v>
      </c>
      <c r="AQ117" s="40">
        <f t="shared" si="87"/>
        <v>6.7499999999999999E-3</v>
      </c>
      <c r="AR117" s="39">
        <f t="shared" si="67"/>
        <v>41.242828115271607</v>
      </c>
      <c r="AS117" s="37">
        <f t="shared" si="68"/>
        <v>235.4</v>
      </c>
      <c r="AT117" s="40">
        <f t="shared" si="69"/>
        <v>85.09166914022201</v>
      </c>
    </row>
    <row r="118" spans="17:46" x14ac:dyDescent="0.25">
      <c r="Q118">
        <v>111</v>
      </c>
      <c r="R118" s="39">
        <f t="shared" si="45"/>
        <v>53.5</v>
      </c>
      <c r="S118" s="37">
        <f t="shared" si="73"/>
        <v>4.4400000000000004</v>
      </c>
      <c r="T118" s="37">
        <f t="shared" si="47"/>
        <v>15</v>
      </c>
      <c r="U118" s="40">
        <f t="shared" si="74"/>
        <v>17.595555555555556</v>
      </c>
      <c r="V118" s="39">
        <f t="shared" si="75"/>
        <v>2</v>
      </c>
      <c r="W118" s="37">
        <f t="shared" si="76"/>
        <v>0.71962616822429903</v>
      </c>
      <c r="X118" s="40">
        <f t="shared" si="77"/>
        <v>0.28037383177570097</v>
      </c>
      <c r="Y118" s="39">
        <f t="shared" si="78"/>
        <v>13.629283489096572</v>
      </c>
      <c r="Z118" s="37">
        <f t="shared" si="71"/>
        <v>24.410197300103842</v>
      </c>
      <c r="AA118" s="37">
        <f t="shared" si="72"/>
        <v>18.030068108879181</v>
      </c>
      <c r="AB118" s="37">
        <v>0</v>
      </c>
      <c r="AC118" s="37">
        <f t="shared" si="79"/>
        <v>0.65016671202164422</v>
      </c>
      <c r="AD118" s="40">
        <f t="shared" si="62"/>
        <v>0.65016671202164422</v>
      </c>
      <c r="AE118" s="39">
        <f t="shared" si="70"/>
        <v>12.662222222222223</v>
      </c>
      <c r="AF118" s="37">
        <f t="shared" si="63"/>
        <v>15.295047886148101</v>
      </c>
      <c r="AG118" s="37">
        <f t="shared" si="80"/>
        <v>0</v>
      </c>
      <c r="AH118" s="37">
        <f t="shared" si="81"/>
        <v>36.251847988813971</v>
      </c>
      <c r="AI118" s="40">
        <f t="shared" si="64"/>
        <v>36.251847988813971</v>
      </c>
      <c r="AJ118" s="39">
        <f t="shared" si="65"/>
        <v>4.9333333333333345</v>
      </c>
      <c r="AK118" s="37">
        <f t="shared" si="82"/>
        <v>9.546982045194099</v>
      </c>
      <c r="AL118" s="37">
        <f t="shared" si="83"/>
        <v>2.5752000000000002</v>
      </c>
      <c r="AM118" s="37">
        <f t="shared" si="84"/>
        <v>1.1897599999999999</v>
      </c>
      <c r="AN118" s="40">
        <f t="shared" si="66"/>
        <v>3.7649600000000003</v>
      </c>
      <c r="AO118" s="39">
        <f t="shared" si="85"/>
        <v>0.35090773475934522</v>
      </c>
      <c r="AP118" s="37">
        <f t="shared" si="86"/>
        <v>0.58509</v>
      </c>
      <c r="AQ118" s="40">
        <f t="shared" si="87"/>
        <v>6.7499999999999999E-3</v>
      </c>
      <c r="AR118" s="39">
        <f t="shared" si="67"/>
        <v>41.609722435594961</v>
      </c>
      <c r="AS118" s="37">
        <f t="shared" si="68"/>
        <v>237.54000000000002</v>
      </c>
      <c r="AT118" s="40">
        <f t="shared" si="69"/>
        <v>85.094120075582353</v>
      </c>
    </row>
    <row r="119" spans="17:46" x14ac:dyDescent="0.25">
      <c r="Q119">
        <v>112</v>
      </c>
      <c r="R119" s="39">
        <f t="shared" si="45"/>
        <v>53.5</v>
      </c>
      <c r="S119" s="37">
        <f t="shared" si="73"/>
        <v>4.4800000000000004</v>
      </c>
      <c r="T119" s="37">
        <f t="shared" si="47"/>
        <v>15</v>
      </c>
      <c r="U119" s="40">
        <f t="shared" si="74"/>
        <v>17.754074074074076</v>
      </c>
      <c r="V119" s="39">
        <f t="shared" si="75"/>
        <v>2</v>
      </c>
      <c r="W119" s="37">
        <f t="shared" si="76"/>
        <v>0.71962616822429903</v>
      </c>
      <c r="X119" s="40">
        <f t="shared" si="77"/>
        <v>0.28037383177570097</v>
      </c>
      <c r="Y119" s="39">
        <f t="shared" si="78"/>
        <v>13.629283489096572</v>
      </c>
      <c r="Z119" s="37">
        <f t="shared" si="71"/>
        <v>24.568715818622362</v>
      </c>
      <c r="AA119" s="37">
        <f t="shared" si="72"/>
        <v>18.184799337080662</v>
      </c>
      <c r="AB119" s="37">
        <v>0</v>
      </c>
      <c r="AC119" s="37">
        <f t="shared" si="79"/>
        <v>0.66137385385977865</v>
      </c>
      <c r="AD119" s="40">
        <f t="shared" si="62"/>
        <v>0.66137385385977865</v>
      </c>
      <c r="AE119" s="39">
        <f t="shared" si="70"/>
        <v>12.776296296296296</v>
      </c>
      <c r="AF119" s="37">
        <f t="shared" si="63"/>
        <v>15.42630759801013</v>
      </c>
      <c r="AG119" s="37">
        <f t="shared" si="80"/>
        <v>0</v>
      </c>
      <c r="AH119" s="37">
        <f t="shared" si="81"/>
        <v>36.578441213938426</v>
      </c>
      <c r="AI119" s="40">
        <f t="shared" si="64"/>
        <v>36.578441213938426</v>
      </c>
      <c r="AJ119" s="39">
        <f t="shared" si="65"/>
        <v>4.9777777777777787</v>
      </c>
      <c r="AK119" s="37">
        <f t="shared" si="82"/>
        <v>9.6289127538608597</v>
      </c>
      <c r="AL119" s="37">
        <f t="shared" si="83"/>
        <v>2.5984000000000003</v>
      </c>
      <c r="AM119" s="37">
        <f t="shared" si="84"/>
        <v>1.1897599999999999</v>
      </c>
      <c r="AN119" s="40">
        <f t="shared" si="66"/>
        <v>3.7881600000000004</v>
      </c>
      <c r="AO119" s="39">
        <f t="shared" si="85"/>
        <v>0.35695644916263763</v>
      </c>
      <c r="AP119" s="37">
        <f t="shared" si="86"/>
        <v>0.58509</v>
      </c>
      <c r="AQ119" s="40">
        <f t="shared" si="87"/>
        <v>6.7499999999999999E-3</v>
      </c>
      <c r="AR119" s="39">
        <f t="shared" si="67"/>
        <v>41.976771516960838</v>
      </c>
      <c r="AS119" s="37">
        <f t="shared" si="68"/>
        <v>239.68000000000004</v>
      </c>
      <c r="AT119" s="40">
        <f t="shared" si="69"/>
        <v>85.096480623959337</v>
      </c>
    </row>
    <row r="120" spans="17:46" x14ac:dyDescent="0.25">
      <c r="Q120">
        <v>113</v>
      </c>
      <c r="R120" s="39">
        <f t="shared" si="45"/>
        <v>53.5</v>
      </c>
      <c r="S120" s="37">
        <f t="shared" si="73"/>
        <v>4.5200000000000005</v>
      </c>
      <c r="T120" s="37">
        <f t="shared" si="47"/>
        <v>15</v>
      </c>
      <c r="U120" s="40">
        <f t="shared" si="74"/>
        <v>17.912592592592596</v>
      </c>
      <c r="V120" s="39">
        <f t="shared" si="75"/>
        <v>2</v>
      </c>
      <c r="W120" s="37">
        <f t="shared" si="76"/>
        <v>0.71962616822429903</v>
      </c>
      <c r="X120" s="40">
        <f t="shared" si="77"/>
        <v>0.28037383177570097</v>
      </c>
      <c r="Y120" s="39">
        <f t="shared" si="78"/>
        <v>13.629283489096572</v>
      </c>
      <c r="Z120" s="37">
        <f t="shared" si="71"/>
        <v>24.727234337140882</v>
      </c>
      <c r="AA120" s="37">
        <f t="shared" si="72"/>
        <v>18.339595254268378</v>
      </c>
      <c r="AB120" s="37">
        <v>0</v>
      </c>
      <c r="AC120" s="37">
        <f t="shared" si="79"/>
        <v>0.67268150818076644</v>
      </c>
      <c r="AD120" s="40">
        <f t="shared" si="62"/>
        <v>0.67268150818076644</v>
      </c>
      <c r="AE120" s="39">
        <f t="shared" si="70"/>
        <v>12.890370370370372</v>
      </c>
      <c r="AF120" s="37">
        <f t="shared" si="63"/>
        <v>15.557622186045453</v>
      </c>
      <c r="AG120" s="37">
        <f t="shared" si="80"/>
        <v>0</v>
      </c>
      <c r="AH120" s="37">
        <f t="shared" si="81"/>
        <v>36.905034439062874</v>
      </c>
      <c r="AI120" s="40">
        <f t="shared" si="64"/>
        <v>36.905034439062874</v>
      </c>
      <c r="AJ120" s="39">
        <f t="shared" si="65"/>
        <v>5.0222222222222239</v>
      </c>
      <c r="AK120" s="37">
        <f t="shared" si="82"/>
        <v>9.7108777155646191</v>
      </c>
      <c r="AL120" s="37">
        <f t="shared" si="83"/>
        <v>2.6215999999999999</v>
      </c>
      <c r="AM120" s="37">
        <f t="shared" si="84"/>
        <v>1.1897599999999999</v>
      </c>
      <c r="AN120" s="40">
        <f t="shared" si="66"/>
        <v>3.8113599999999996</v>
      </c>
      <c r="AO120" s="39">
        <f t="shared" si="85"/>
        <v>0.36305941212560056</v>
      </c>
      <c r="AP120" s="37">
        <f t="shared" si="86"/>
        <v>0.58509</v>
      </c>
      <c r="AQ120" s="40">
        <f t="shared" si="87"/>
        <v>6.7499999999999999E-3</v>
      </c>
      <c r="AR120" s="39">
        <f t="shared" si="67"/>
        <v>42.343975359369239</v>
      </c>
      <c r="AS120" s="37">
        <f t="shared" si="68"/>
        <v>241.82000000000002</v>
      </c>
      <c r="AT120" s="40">
        <f t="shared" si="69"/>
        <v>85.098753173825529</v>
      </c>
    </row>
    <row r="121" spans="17:46" x14ac:dyDescent="0.25">
      <c r="Q121">
        <v>114</v>
      </c>
      <c r="R121" s="39">
        <f t="shared" si="45"/>
        <v>53.5</v>
      </c>
      <c r="S121" s="37">
        <f t="shared" si="73"/>
        <v>4.5600000000000005</v>
      </c>
      <c r="T121" s="37">
        <f t="shared" si="47"/>
        <v>15</v>
      </c>
      <c r="U121" s="40">
        <f t="shared" si="74"/>
        <v>18.071111111111115</v>
      </c>
      <c r="V121" s="39">
        <f t="shared" si="75"/>
        <v>2</v>
      </c>
      <c r="W121" s="37">
        <f t="shared" si="76"/>
        <v>0.71962616822429903</v>
      </c>
      <c r="X121" s="40">
        <f t="shared" si="77"/>
        <v>0.28037383177570097</v>
      </c>
      <c r="Y121" s="39">
        <f t="shared" si="78"/>
        <v>13.629283489096572</v>
      </c>
      <c r="Z121" s="37">
        <f t="shared" si="71"/>
        <v>24.885752855659401</v>
      </c>
      <c r="AA121" s="37">
        <f t="shared" si="72"/>
        <v>18.494454236129911</v>
      </c>
      <c r="AB121" s="37">
        <v>0</v>
      </c>
      <c r="AC121" s="37">
        <f t="shared" si="79"/>
        <v>0.68408967498460727</v>
      </c>
      <c r="AD121" s="40">
        <f t="shared" si="62"/>
        <v>0.68408967498460727</v>
      </c>
      <c r="AE121" s="39">
        <f t="shared" si="70"/>
        <v>13.004444444444447</v>
      </c>
      <c r="AF121" s="37">
        <f t="shared" si="63"/>
        <v>15.688990272337142</v>
      </c>
      <c r="AG121" s="37">
        <f t="shared" si="80"/>
        <v>0</v>
      </c>
      <c r="AH121" s="37">
        <f t="shared" si="81"/>
        <v>37.231627664187329</v>
      </c>
      <c r="AI121" s="40">
        <f t="shared" si="64"/>
        <v>37.231627664187329</v>
      </c>
      <c r="AJ121" s="39">
        <f t="shared" si="65"/>
        <v>5.0666666666666682</v>
      </c>
      <c r="AK121" s="37">
        <f t="shared" si="82"/>
        <v>9.7928760702264626</v>
      </c>
      <c r="AL121" s="37">
        <f t="shared" si="83"/>
        <v>2.6448</v>
      </c>
      <c r="AM121" s="37">
        <f t="shared" si="84"/>
        <v>1.1897599999999999</v>
      </c>
      <c r="AN121" s="40">
        <f t="shared" si="66"/>
        <v>3.8345599999999997</v>
      </c>
      <c r="AO121" s="39">
        <f t="shared" si="85"/>
        <v>0.36921662364823421</v>
      </c>
      <c r="AP121" s="37">
        <f t="shared" si="86"/>
        <v>0.58509</v>
      </c>
      <c r="AQ121" s="40">
        <f t="shared" si="87"/>
        <v>6.7499999999999999E-3</v>
      </c>
      <c r="AR121" s="39">
        <f t="shared" si="67"/>
        <v>42.711333962820163</v>
      </c>
      <c r="AS121" s="37">
        <f t="shared" si="68"/>
        <v>243.96000000000004</v>
      </c>
      <c r="AT121" s="40">
        <f t="shared" si="69"/>
        <v>85.100940030383512</v>
      </c>
    </row>
    <row r="122" spans="17:46" x14ac:dyDescent="0.25">
      <c r="Q122">
        <v>115</v>
      </c>
      <c r="R122" s="39">
        <f t="shared" si="45"/>
        <v>53.5</v>
      </c>
      <c r="S122" s="37">
        <f t="shared" si="73"/>
        <v>4.6000000000000005</v>
      </c>
      <c r="T122" s="37">
        <f t="shared" si="47"/>
        <v>15</v>
      </c>
      <c r="U122" s="40">
        <f t="shared" si="74"/>
        <v>18.229629629629631</v>
      </c>
      <c r="V122" s="39">
        <f t="shared" si="75"/>
        <v>2</v>
      </c>
      <c r="W122" s="37">
        <f t="shared" si="76"/>
        <v>0.71962616822429903</v>
      </c>
      <c r="X122" s="40">
        <f t="shared" si="77"/>
        <v>0.28037383177570097</v>
      </c>
      <c r="Y122" s="39">
        <f t="shared" si="78"/>
        <v>13.629283489096572</v>
      </c>
      <c r="Z122" s="37">
        <f t="shared" si="71"/>
        <v>25.044271374177917</v>
      </c>
      <c r="AA122" s="37">
        <f t="shared" si="72"/>
        <v>18.64937471165322</v>
      </c>
      <c r="AB122" s="37">
        <v>0</v>
      </c>
      <c r="AC122" s="37">
        <f t="shared" si="79"/>
        <v>0.69559835427130123</v>
      </c>
      <c r="AD122" s="40">
        <f t="shared" si="62"/>
        <v>0.69559835427130123</v>
      </c>
      <c r="AE122" s="39">
        <f t="shared" si="70"/>
        <v>13.118518518518519</v>
      </c>
      <c r="AF122" s="37">
        <f t="shared" si="63"/>
        <v>15.820410524183389</v>
      </c>
      <c r="AG122" s="37">
        <f t="shared" si="80"/>
        <v>0</v>
      </c>
      <c r="AH122" s="37">
        <f t="shared" si="81"/>
        <v>37.558220889311777</v>
      </c>
      <c r="AI122" s="40">
        <f t="shared" si="64"/>
        <v>37.558220889311777</v>
      </c>
      <c r="AJ122" s="39">
        <f t="shared" si="65"/>
        <v>5.1111111111111125</v>
      </c>
      <c r="AK122" s="37">
        <f t="shared" si="82"/>
        <v>9.8749069859902043</v>
      </c>
      <c r="AL122" s="37">
        <f t="shared" si="83"/>
        <v>2.6680000000000001</v>
      </c>
      <c r="AM122" s="37">
        <f t="shared" si="84"/>
        <v>1.1897599999999999</v>
      </c>
      <c r="AN122" s="40">
        <f t="shared" si="66"/>
        <v>3.8577599999999999</v>
      </c>
      <c r="AO122" s="39">
        <f t="shared" si="85"/>
        <v>0.37542808373053882</v>
      </c>
      <c r="AP122" s="37">
        <f t="shared" si="86"/>
        <v>0.58509</v>
      </c>
      <c r="AQ122" s="40">
        <f t="shared" si="87"/>
        <v>6.7499999999999999E-3</v>
      </c>
      <c r="AR122" s="39">
        <f t="shared" si="67"/>
        <v>43.078847327313618</v>
      </c>
      <c r="AS122" s="37">
        <f t="shared" si="68"/>
        <v>246.10000000000002</v>
      </c>
      <c r="AT122" s="40">
        <f t="shared" si="69"/>
        <v>85.103043419163427</v>
      </c>
    </row>
    <row r="123" spans="17:46" x14ac:dyDescent="0.25">
      <c r="Q123">
        <v>116</v>
      </c>
      <c r="R123" s="39">
        <f t="shared" si="45"/>
        <v>53.5</v>
      </c>
      <c r="S123" s="37">
        <f t="shared" si="73"/>
        <v>4.6399999999999997</v>
      </c>
      <c r="T123" s="37">
        <f t="shared" si="47"/>
        <v>15</v>
      </c>
      <c r="U123" s="40">
        <f t="shared" si="74"/>
        <v>18.388148148148147</v>
      </c>
      <c r="V123" s="39">
        <f t="shared" si="75"/>
        <v>2</v>
      </c>
      <c r="W123" s="37">
        <f t="shared" si="76"/>
        <v>0.71962616822429903</v>
      </c>
      <c r="X123" s="40">
        <f t="shared" si="77"/>
        <v>0.28037383177570097</v>
      </c>
      <c r="Y123" s="39">
        <f t="shared" si="78"/>
        <v>13.629283489096572</v>
      </c>
      <c r="Z123" s="37">
        <f t="shared" si="71"/>
        <v>25.202789892696433</v>
      </c>
      <c r="AA123" s="37">
        <f t="shared" si="72"/>
        <v>18.804355160983963</v>
      </c>
      <c r="AB123" s="37">
        <v>0</v>
      </c>
      <c r="AC123" s="37">
        <f t="shared" si="79"/>
        <v>0.70720754604084846</v>
      </c>
      <c r="AD123" s="40">
        <f t="shared" si="62"/>
        <v>0.70720754604084846</v>
      </c>
      <c r="AE123" s="39">
        <f t="shared" si="70"/>
        <v>13.232592592592592</v>
      </c>
      <c r="AF123" s="37">
        <f t="shared" si="63"/>
        <v>15.951881652279855</v>
      </c>
      <c r="AG123" s="37">
        <f t="shared" si="80"/>
        <v>0</v>
      </c>
      <c r="AH123" s="37">
        <f t="shared" si="81"/>
        <v>37.884814114436217</v>
      </c>
      <c r="AI123" s="40">
        <f t="shared" si="64"/>
        <v>37.884814114436217</v>
      </c>
      <c r="AJ123" s="39">
        <f t="shared" si="65"/>
        <v>5.1555555555555559</v>
      </c>
      <c r="AK123" s="37">
        <f t="shared" si="82"/>
        <v>9.9569696580878251</v>
      </c>
      <c r="AL123" s="37">
        <f t="shared" si="83"/>
        <v>2.6911999999999998</v>
      </c>
      <c r="AM123" s="37">
        <f t="shared" si="84"/>
        <v>1.1897599999999999</v>
      </c>
      <c r="AN123" s="40">
        <f t="shared" si="66"/>
        <v>3.88096</v>
      </c>
      <c r="AO123" s="39">
        <f t="shared" si="85"/>
        <v>0.38169379237251405</v>
      </c>
      <c r="AP123" s="37">
        <f t="shared" si="86"/>
        <v>0.58509</v>
      </c>
      <c r="AQ123" s="40">
        <f t="shared" si="87"/>
        <v>6.7499999999999999E-3</v>
      </c>
      <c r="AR123" s="39">
        <f t="shared" si="67"/>
        <v>43.446515452849575</v>
      </c>
      <c r="AS123" s="37">
        <f t="shared" si="68"/>
        <v>248.23999999999998</v>
      </c>
      <c r="AT123" s="40">
        <f t="shared" si="69"/>
        <v>85.105065489435489</v>
      </c>
    </row>
    <row r="124" spans="17:46" x14ac:dyDescent="0.25">
      <c r="Q124">
        <v>117</v>
      </c>
      <c r="R124" s="39">
        <f t="shared" si="45"/>
        <v>53.5</v>
      </c>
      <c r="S124" s="37">
        <f t="shared" si="73"/>
        <v>4.68</v>
      </c>
      <c r="T124" s="37">
        <f t="shared" si="47"/>
        <v>15</v>
      </c>
      <c r="U124" s="40">
        <f t="shared" si="74"/>
        <v>18.546666666666667</v>
      </c>
      <c r="V124" s="39">
        <f t="shared" si="75"/>
        <v>2</v>
      </c>
      <c r="W124" s="37">
        <f t="shared" si="76"/>
        <v>0.71962616822429903</v>
      </c>
      <c r="X124" s="40">
        <f t="shared" si="77"/>
        <v>0.28037383177570097</v>
      </c>
      <c r="Y124" s="39">
        <f t="shared" si="78"/>
        <v>13.629283489096572</v>
      </c>
      <c r="Z124" s="37">
        <f t="shared" si="71"/>
        <v>25.361308411214953</v>
      </c>
      <c r="AA124" s="37">
        <f t="shared" si="72"/>
        <v>18.959394113384121</v>
      </c>
      <c r="AB124" s="37">
        <v>0</v>
      </c>
      <c r="AC124" s="37">
        <f t="shared" si="79"/>
        <v>0.71891725029324893</v>
      </c>
      <c r="AD124" s="40">
        <f t="shared" si="62"/>
        <v>0.71891725029324893</v>
      </c>
      <c r="AE124" s="39">
        <f t="shared" si="70"/>
        <v>13.346666666666666</v>
      </c>
      <c r="AF124" s="37">
        <f t="shared" si="63"/>
        <v>16.083402408987972</v>
      </c>
      <c r="AG124" s="37">
        <f t="shared" si="80"/>
        <v>0</v>
      </c>
      <c r="AH124" s="37">
        <f t="shared" si="81"/>
        <v>38.211407339560672</v>
      </c>
      <c r="AI124" s="40">
        <f t="shared" si="64"/>
        <v>38.211407339560672</v>
      </c>
      <c r="AJ124" s="39">
        <f t="shared" si="65"/>
        <v>5.2000000000000011</v>
      </c>
      <c r="AK124" s="37">
        <f t="shared" si="82"/>
        <v>10.039063307758571</v>
      </c>
      <c r="AL124" s="37">
        <f t="shared" si="83"/>
        <v>2.7143999999999995</v>
      </c>
      <c r="AM124" s="37">
        <f t="shared" si="84"/>
        <v>1.1897599999999999</v>
      </c>
      <c r="AN124" s="40">
        <f t="shared" si="66"/>
        <v>3.9041599999999992</v>
      </c>
      <c r="AO124" s="39">
        <f t="shared" si="85"/>
        <v>0.38801374957416013</v>
      </c>
      <c r="AP124" s="37">
        <f t="shared" si="86"/>
        <v>0.58509</v>
      </c>
      <c r="AQ124" s="40">
        <f t="shared" si="87"/>
        <v>6.7499999999999999E-3</v>
      </c>
      <c r="AR124" s="39">
        <f t="shared" si="67"/>
        <v>43.814338339428083</v>
      </c>
      <c r="AS124" s="37">
        <f t="shared" si="68"/>
        <v>250.38</v>
      </c>
      <c r="AT124" s="40">
        <f t="shared" si="69"/>
        <v>85.107008317448617</v>
      </c>
    </row>
    <row r="125" spans="17:46" x14ac:dyDescent="0.25">
      <c r="Q125">
        <v>118</v>
      </c>
      <c r="R125" s="39">
        <f t="shared" si="45"/>
        <v>53.5</v>
      </c>
      <c r="S125" s="37">
        <f t="shared" si="73"/>
        <v>4.72</v>
      </c>
      <c r="T125" s="37">
        <f t="shared" si="47"/>
        <v>15</v>
      </c>
      <c r="U125" s="40">
        <f t="shared" si="74"/>
        <v>18.705185185185183</v>
      </c>
      <c r="V125" s="39">
        <f t="shared" si="75"/>
        <v>2</v>
      </c>
      <c r="W125" s="37">
        <f t="shared" si="76"/>
        <v>0.71962616822429903</v>
      </c>
      <c r="X125" s="40">
        <f t="shared" si="77"/>
        <v>0.28037383177570097</v>
      </c>
      <c r="Y125" s="39">
        <f t="shared" si="78"/>
        <v>13.629283489096572</v>
      </c>
      <c r="Z125" s="37">
        <f t="shared" si="71"/>
        <v>25.519826929733469</v>
      </c>
      <c r="AA125" s="37">
        <f t="shared" si="72"/>
        <v>19.11449014528641</v>
      </c>
      <c r="AB125" s="37">
        <v>0</v>
      </c>
      <c r="AC125" s="37">
        <f t="shared" si="79"/>
        <v>0.73072746702850255</v>
      </c>
      <c r="AD125" s="40">
        <f t="shared" si="62"/>
        <v>0.73072746702850255</v>
      </c>
      <c r="AE125" s="39">
        <f t="shared" si="70"/>
        <v>13.460740740740739</v>
      </c>
      <c r="AF125" s="37">
        <f t="shared" si="63"/>
        <v>16.21497158668447</v>
      </c>
      <c r="AG125" s="37">
        <f t="shared" si="80"/>
        <v>0</v>
      </c>
      <c r="AH125" s="37">
        <f t="shared" si="81"/>
        <v>38.53800056468512</v>
      </c>
      <c r="AI125" s="40">
        <f t="shared" si="64"/>
        <v>38.53800056468512</v>
      </c>
      <c r="AJ125" s="39">
        <f t="shared" si="65"/>
        <v>5.2444444444444445</v>
      </c>
      <c r="AK125" s="37">
        <f t="shared" si="82"/>
        <v>10.121187181218751</v>
      </c>
      <c r="AL125" s="37">
        <f t="shared" si="83"/>
        <v>2.7375999999999996</v>
      </c>
      <c r="AM125" s="37">
        <f t="shared" si="84"/>
        <v>1.1897599999999999</v>
      </c>
      <c r="AN125" s="40">
        <f t="shared" si="66"/>
        <v>3.9273599999999993</v>
      </c>
      <c r="AO125" s="39">
        <f t="shared" si="85"/>
        <v>0.39438795533547699</v>
      </c>
      <c r="AP125" s="37">
        <f t="shared" si="86"/>
        <v>0.58509</v>
      </c>
      <c r="AQ125" s="40">
        <f t="shared" si="87"/>
        <v>6.7499999999999999E-3</v>
      </c>
      <c r="AR125" s="39">
        <f t="shared" si="67"/>
        <v>44.182315987049094</v>
      </c>
      <c r="AS125" s="37">
        <f t="shared" si="68"/>
        <v>252.51999999999998</v>
      </c>
      <c r="AT125" s="40">
        <f t="shared" si="69"/>
        <v>85.108873909505434</v>
      </c>
    </row>
    <row r="126" spans="17:46" x14ac:dyDescent="0.25">
      <c r="Q126">
        <v>119</v>
      </c>
      <c r="R126" s="39">
        <f t="shared" si="45"/>
        <v>53.5</v>
      </c>
      <c r="S126" s="37">
        <f t="shared" si="73"/>
        <v>4.76</v>
      </c>
      <c r="T126" s="37">
        <f t="shared" si="47"/>
        <v>15</v>
      </c>
      <c r="U126" s="40">
        <f t="shared" si="74"/>
        <v>18.863703703703703</v>
      </c>
      <c r="V126" s="39">
        <f t="shared" si="75"/>
        <v>2</v>
      </c>
      <c r="W126" s="37">
        <f t="shared" si="76"/>
        <v>0.71962616822429903</v>
      </c>
      <c r="X126" s="40">
        <f t="shared" si="77"/>
        <v>0.28037383177570097</v>
      </c>
      <c r="Y126" s="39">
        <f t="shared" si="78"/>
        <v>13.629283489096572</v>
      </c>
      <c r="Z126" s="37">
        <f t="shared" si="71"/>
        <v>25.678345448251989</v>
      </c>
      <c r="AA126" s="37">
        <f t="shared" si="72"/>
        <v>19.269641878439383</v>
      </c>
      <c r="AB126" s="37">
        <v>0</v>
      </c>
      <c r="AC126" s="37">
        <f t="shared" si="79"/>
        <v>0.74263819624660987</v>
      </c>
      <c r="AD126" s="40">
        <f t="shared" si="62"/>
        <v>0.74263819624660987</v>
      </c>
      <c r="AE126" s="39">
        <f t="shared" si="70"/>
        <v>13.574814814814813</v>
      </c>
      <c r="AF126" s="37">
        <f t="shared" si="63"/>
        <v>16.346588016187855</v>
      </c>
      <c r="AG126" s="37">
        <f t="shared" si="80"/>
        <v>0</v>
      </c>
      <c r="AH126" s="37">
        <f t="shared" si="81"/>
        <v>38.864593789809568</v>
      </c>
      <c r="AI126" s="40">
        <f t="shared" si="64"/>
        <v>38.864593789809568</v>
      </c>
      <c r="AJ126" s="39">
        <f t="shared" si="65"/>
        <v>5.2888888888888888</v>
      </c>
      <c r="AK126" s="37">
        <f t="shared" si="82"/>
        <v>10.203340548679559</v>
      </c>
      <c r="AL126" s="37">
        <f t="shared" si="83"/>
        <v>2.7607999999999997</v>
      </c>
      <c r="AM126" s="37">
        <f t="shared" si="84"/>
        <v>1.1897599999999999</v>
      </c>
      <c r="AN126" s="40">
        <f t="shared" si="66"/>
        <v>3.9505599999999994</v>
      </c>
      <c r="AO126" s="39">
        <f t="shared" si="85"/>
        <v>0.40081640965646459</v>
      </c>
      <c r="AP126" s="37">
        <f t="shared" si="86"/>
        <v>0.58509</v>
      </c>
      <c r="AQ126" s="40">
        <f t="shared" si="87"/>
        <v>6.7499999999999999E-3</v>
      </c>
      <c r="AR126" s="39">
        <f t="shared" si="67"/>
        <v>44.550448395712635</v>
      </c>
      <c r="AS126" s="37">
        <f t="shared" si="68"/>
        <v>254.66</v>
      </c>
      <c r="AT126" s="40">
        <f t="shared" si="69"/>
        <v>85.110664204883093</v>
      </c>
    </row>
    <row r="127" spans="17:46" x14ac:dyDescent="0.25">
      <c r="Q127">
        <v>120</v>
      </c>
      <c r="R127" s="39">
        <f t="shared" si="45"/>
        <v>53.5</v>
      </c>
      <c r="S127" s="37">
        <f t="shared" si="73"/>
        <v>4.8</v>
      </c>
      <c r="T127" s="37">
        <f t="shared" si="47"/>
        <v>15</v>
      </c>
      <c r="U127" s="40">
        <f t="shared" si="74"/>
        <v>19.022222222222222</v>
      </c>
      <c r="V127" s="39">
        <f t="shared" si="75"/>
        <v>2</v>
      </c>
      <c r="W127" s="37">
        <f t="shared" si="76"/>
        <v>0.71962616822429903</v>
      </c>
      <c r="X127" s="40">
        <f t="shared" si="77"/>
        <v>0.28037383177570097</v>
      </c>
      <c r="Y127" s="39">
        <f t="shared" si="78"/>
        <v>13.629283489096572</v>
      </c>
      <c r="Z127" s="37">
        <f t="shared" si="71"/>
        <v>25.836863966770508</v>
      </c>
      <c r="AA127" s="37">
        <f t="shared" si="72"/>
        <v>19.424847978138335</v>
      </c>
      <c r="AB127" s="37">
        <v>0</v>
      </c>
      <c r="AC127" s="37">
        <f t="shared" si="79"/>
        <v>0.75464943794757</v>
      </c>
      <c r="AD127" s="40">
        <f t="shared" si="62"/>
        <v>0.75464943794757</v>
      </c>
      <c r="AE127" s="39">
        <f t="shared" si="70"/>
        <v>13.688888888888888</v>
      </c>
      <c r="AF127" s="37">
        <f t="shared" si="63"/>
        <v>16.478250565257689</v>
      </c>
      <c r="AG127" s="37">
        <f t="shared" si="80"/>
        <v>0</v>
      </c>
      <c r="AH127" s="37">
        <f t="shared" si="81"/>
        <v>39.191187014934016</v>
      </c>
      <c r="AI127" s="40">
        <f t="shared" si="64"/>
        <v>39.191187014934016</v>
      </c>
      <c r="AJ127" s="39">
        <f t="shared" si="65"/>
        <v>5.3333333333333339</v>
      </c>
      <c r="AK127" s="37">
        <f t="shared" si="82"/>
        <v>10.285522703410344</v>
      </c>
      <c r="AL127" s="37">
        <f t="shared" si="83"/>
        <v>2.7839999999999998</v>
      </c>
      <c r="AM127" s="37">
        <f t="shared" si="84"/>
        <v>1.1897599999999999</v>
      </c>
      <c r="AN127" s="40">
        <f t="shared" si="66"/>
        <v>3.9737599999999995</v>
      </c>
      <c r="AO127" s="39">
        <f t="shared" si="85"/>
        <v>0.40729911253712298</v>
      </c>
      <c r="AP127" s="37">
        <f t="shared" si="86"/>
        <v>0.58509</v>
      </c>
      <c r="AQ127" s="40">
        <f t="shared" si="87"/>
        <v>6.7499999999999999E-3</v>
      </c>
      <c r="AR127" s="39">
        <f t="shared" si="67"/>
        <v>44.918735565418707</v>
      </c>
      <c r="AS127" s="37">
        <f t="shared" si="68"/>
        <v>256.8</v>
      </c>
      <c r="AT127" s="40">
        <f t="shared" si="69"/>
        <v>85.112381078609076</v>
      </c>
    </row>
    <row r="128" spans="17:46" x14ac:dyDescent="0.25">
      <c r="Q128">
        <v>121</v>
      </c>
      <c r="R128" s="39">
        <f t="shared" si="45"/>
        <v>53.5</v>
      </c>
      <c r="S128" s="37">
        <f t="shared" si="73"/>
        <v>4.84</v>
      </c>
      <c r="T128" s="37">
        <f t="shared" si="47"/>
        <v>15</v>
      </c>
      <c r="U128" s="40">
        <f t="shared" si="74"/>
        <v>19.180740740740742</v>
      </c>
      <c r="V128" s="39">
        <f t="shared" si="75"/>
        <v>2</v>
      </c>
      <c r="W128" s="37">
        <f t="shared" si="76"/>
        <v>0.71962616822429903</v>
      </c>
      <c r="X128" s="40">
        <f t="shared" si="77"/>
        <v>0.28037383177570097</v>
      </c>
      <c r="Y128" s="39">
        <f t="shared" si="78"/>
        <v>13.629283489096572</v>
      </c>
      <c r="Z128" s="37">
        <f t="shared" si="71"/>
        <v>25.995382485289028</v>
      </c>
      <c r="AA128" s="37">
        <f t="shared" si="72"/>
        <v>19.580107151537547</v>
      </c>
      <c r="AB128" s="37">
        <v>0</v>
      </c>
      <c r="AC128" s="37">
        <f t="shared" si="79"/>
        <v>0.76676119213138361</v>
      </c>
      <c r="AD128" s="40">
        <f t="shared" si="62"/>
        <v>0.76676119213138361</v>
      </c>
      <c r="AE128" s="39">
        <f t="shared" si="70"/>
        <v>13.802962962962964</v>
      </c>
      <c r="AF128" s="37">
        <f t="shared" si="63"/>
        <v>16.609958137162828</v>
      </c>
      <c r="AG128" s="37">
        <f t="shared" si="80"/>
        <v>0</v>
      </c>
      <c r="AH128" s="37">
        <f t="shared" si="81"/>
        <v>39.517780240058478</v>
      </c>
      <c r="AI128" s="40">
        <f t="shared" si="64"/>
        <v>39.517780240058478</v>
      </c>
      <c r="AJ128" s="39">
        <f t="shared" si="65"/>
        <v>5.3777777777777791</v>
      </c>
      <c r="AK128" s="37">
        <f t="shared" si="82"/>
        <v>10.367732960844924</v>
      </c>
      <c r="AL128" s="37">
        <f t="shared" si="83"/>
        <v>2.8071999999999999</v>
      </c>
      <c r="AM128" s="37">
        <f t="shared" si="84"/>
        <v>1.1897599999999999</v>
      </c>
      <c r="AN128" s="40">
        <f t="shared" si="66"/>
        <v>3.9969599999999996</v>
      </c>
      <c r="AO128" s="39">
        <f t="shared" si="85"/>
        <v>0.41383606397745243</v>
      </c>
      <c r="AP128" s="37">
        <f t="shared" si="86"/>
        <v>0.58509</v>
      </c>
      <c r="AQ128" s="40">
        <f t="shared" si="87"/>
        <v>6.7499999999999999E-3</v>
      </c>
      <c r="AR128" s="39">
        <f t="shared" si="67"/>
        <v>45.28717749616731</v>
      </c>
      <c r="AS128" s="37">
        <f t="shared" si="68"/>
        <v>258.94</v>
      </c>
      <c r="AT128" s="40">
        <f t="shared" si="69"/>
        <v>85.114026344100097</v>
      </c>
    </row>
    <row r="129" spans="17:46" x14ac:dyDescent="0.25">
      <c r="Q129">
        <v>122</v>
      </c>
      <c r="R129" s="39">
        <f t="shared" si="45"/>
        <v>53.5</v>
      </c>
      <c r="S129" s="37">
        <f t="shared" si="73"/>
        <v>4.88</v>
      </c>
      <c r="T129" s="37">
        <f t="shared" si="47"/>
        <v>15</v>
      </c>
      <c r="U129" s="40">
        <f t="shared" si="74"/>
        <v>19.339259259259258</v>
      </c>
      <c r="V129" s="39">
        <f t="shared" si="75"/>
        <v>2</v>
      </c>
      <c r="W129" s="37">
        <f t="shared" si="76"/>
        <v>0.71962616822429903</v>
      </c>
      <c r="X129" s="40">
        <f t="shared" si="77"/>
        <v>0.28037383177570097</v>
      </c>
      <c r="Y129" s="39">
        <f t="shared" si="78"/>
        <v>13.629283489096572</v>
      </c>
      <c r="Z129" s="37">
        <f t="shared" si="71"/>
        <v>26.153901003807544</v>
      </c>
      <c r="AA129" s="37">
        <f t="shared" si="72"/>
        <v>19.735418146039496</v>
      </c>
      <c r="AB129" s="37">
        <v>0</v>
      </c>
      <c r="AC129" s="37">
        <f t="shared" si="79"/>
        <v>0.77897345879805002</v>
      </c>
      <c r="AD129" s="40">
        <f t="shared" si="62"/>
        <v>0.77897345879805002</v>
      </c>
      <c r="AE129" s="39">
        <f t="shared" si="70"/>
        <v>13.917037037037035</v>
      </c>
      <c r="AF129" s="37">
        <f t="shared" si="63"/>
        <v>16.741709669314979</v>
      </c>
      <c r="AG129" s="37">
        <f t="shared" si="80"/>
        <v>0</v>
      </c>
      <c r="AH129" s="37">
        <f t="shared" si="81"/>
        <v>39.844373465182919</v>
      </c>
      <c r="AI129" s="40">
        <f t="shared" si="64"/>
        <v>39.844373465182919</v>
      </c>
      <c r="AJ129" s="39">
        <f t="shared" si="65"/>
        <v>5.4222222222222225</v>
      </c>
      <c r="AK129" s="37">
        <f t="shared" si="82"/>
        <v>10.44997065772867</v>
      </c>
      <c r="AL129" s="37">
        <f t="shared" si="83"/>
        <v>2.8303999999999996</v>
      </c>
      <c r="AM129" s="37">
        <f t="shared" si="84"/>
        <v>1.1897599999999999</v>
      </c>
      <c r="AN129" s="40">
        <f t="shared" si="66"/>
        <v>4.0201599999999997</v>
      </c>
      <c r="AO129" s="39">
        <f t="shared" si="85"/>
        <v>0.420427263977452</v>
      </c>
      <c r="AP129" s="37">
        <f t="shared" si="86"/>
        <v>0.58509</v>
      </c>
      <c r="AQ129" s="40">
        <f t="shared" si="87"/>
        <v>6.7499999999999999E-3</v>
      </c>
      <c r="AR129" s="39">
        <f t="shared" si="67"/>
        <v>45.655774187958421</v>
      </c>
      <c r="AS129" s="37">
        <f t="shared" si="68"/>
        <v>261.08</v>
      </c>
      <c r="AT129" s="40">
        <f t="shared" si="69"/>
        <v>85.115601755671989</v>
      </c>
    </row>
    <row r="130" spans="17:46" x14ac:dyDescent="0.25">
      <c r="Q130">
        <v>123</v>
      </c>
      <c r="R130" s="39">
        <f t="shared" si="45"/>
        <v>53.5</v>
      </c>
      <c r="S130" s="37">
        <f t="shared" si="73"/>
        <v>4.92</v>
      </c>
      <c r="T130" s="37">
        <f t="shared" si="47"/>
        <v>15</v>
      </c>
      <c r="U130" s="40">
        <f t="shared" si="74"/>
        <v>19.497777777777774</v>
      </c>
      <c r="V130" s="39">
        <f t="shared" si="75"/>
        <v>2</v>
      </c>
      <c r="W130" s="37">
        <f t="shared" si="76"/>
        <v>0.71962616822429903</v>
      </c>
      <c r="X130" s="40">
        <f t="shared" si="77"/>
        <v>0.28037383177570097</v>
      </c>
      <c r="Y130" s="39">
        <f t="shared" si="78"/>
        <v>13.629283489096572</v>
      </c>
      <c r="Z130" s="37">
        <f t="shared" si="71"/>
        <v>26.31241952232606</v>
      </c>
      <c r="AA130" s="37">
        <f t="shared" si="72"/>
        <v>19.890779747757122</v>
      </c>
      <c r="AB130" s="37">
        <v>0</v>
      </c>
      <c r="AC130" s="37">
        <f t="shared" si="79"/>
        <v>0.7912862379475698</v>
      </c>
      <c r="AD130" s="40">
        <f t="shared" si="62"/>
        <v>0.7912862379475698</v>
      </c>
      <c r="AE130" s="39">
        <f t="shared" si="70"/>
        <v>14.031111111111107</v>
      </c>
      <c r="AF130" s="37">
        <f t="shared" si="63"/>
        <v>16.873504131964268</v>
      </c>
      <c r="AG130" s="37">
        <f t="shared" si="80"/>
        <v>0</v>
      </c>
      <c r="AH130" s="37">
        <f t="shared" si="81"/>
        <v>40.17096669030736</v>
      </c>
      <c r="AI130" s="40">
        <f t="shared" si="64"/>
        <v>40.17096669030736</v>
      </c>
      <c r="AJ130" s="39">
        <f t="shared" si="65"/>
        <v>5.4666666666666659</v>
      </c>
      <c r="AK130" s="37">
        <f t="shared" si="82"/>
        <v>10.532235151304285</v>
      </c>
      <c r="AL130" s="37">
        <f t="shared" si="83"/>
        <v>2.8535999999999997</v>
      </c>
      <c r="AM130" s="37">
        <f t="shared" si="84"/>
        <v>1.1897599999999999</v>
      </c>
      <c r="AN130" s="40">
        <f t="shared" si="66"/>
        <v>4.0433599999999998</v>
      </c>
      <c r="AO130" s="39">
        <f t="shared" si="85"/>
        <v>0.42707271253712287</v>
      </c>
      <c r="AP130" s="37">
        <f t="shared" si="86"/>
        <v>0.58509</v>
      </c>
      <c r="AQ130" s="40">
        <f t="shared" si="87"/>
        <v>6.7499999999999999E-3</v>
      </c>
      <c r="AR130" s="39">
        <f t="shared" si="67"/>
        <v>46.024525640792049</v>
      </c>
      <c r="AS130" s="37">
        <f t="shared" si="68"/>
        <v>263.21999999999997</v>
      </c>
      <c r="AT130" s="40">
        <f t="shared" si="69"/>
        <v>85.117109010927948</v>
      </c>
    </row>
    <row r="131" spans="17:46" x14ac:dyDescent="0.25">
      <c r="Q131">
        <v>124</v>
      </c>
      <c r="R131" s="39">
        <f t="shared" si="45"/>
        <v>53.5</v>
      </c>
      <c r="S131" s="37">
        <f t="shared" si="73"/>
        <v>4.96</v>
      </c>
      <c r="T131" s="37">
        <f t="shared" si="47"/>
        <v>15</v>
      </c>
      <c r="U131" s="40">
        <f t="shared" si="74"/>
        <v>19.656296296296297</v>
      </c>
      <c r="V131" s="39">
        <f t="shared" si="75"/>
        <v>2</v>
      </c>
      <c r="W131" s="37">
        <f t="shared" si="76"/>
        <v>0.71962616822429903</v>
      </c>
      <c r="X131" s="40">
        <f t="shared" si="77"/>
        <v>0.28037383177570097</v>
      </c>
      <c r="Y131" s="39">
        <f t="shared" si="78"/>
        <v>13.629283489096572</v>
      </c>
      <c r="Z131" s="37">
        <f t="shared" si="71"/>
        <v>26.470938040844583</v>
      </c>
      <c r="AA131" s="37">
        <f t="shared" si="72"/>
        <v>20.046190780045258</v>
      </c>
      <c r="AB131" s="37">
        <v>0</v>
      </c>
      <c r="AC131" s="37">
        <f t="shared" si="79"/>
        <v>0.80369952957994306</v>
      </c>
      <c r="AD131" s="40">
        <f t="shared" si="62"/>
        <v>0.80369952957994306</v>
      </c>
      <c r="AE131" s="39">
        <f t="shared" si="70"/>
        <v>14.145185185185186</v>
      </c>
      <c r="AF131" s="37">
        <f t="shared" si="63"/>
        <v>17.005340526953379</v>
      </c>
      <c r="AG131" s="37">
        <f t="shared" si="80"/>
        <v>0</v>
      </c>
      <c r="AH131" s="37">
        <f t="shared" si="81"/>
        <v>40.497559915431829</v>
      </c>
      <c r="AI131" s="40">
        <f t="shared" si="64"/>
        <v>40.497559915431829</v>
      </c>
      <c r="AJ131" s="39">
        <f t="shared" si="65"/>
        <v>5.511111111111112</v>
      </c>
      <c r="AK131" s="37">
        <f t="shared" si="82"/>
        <v>10.614525818534169</v>
      </c>
      <c r="AL131" s="37">
        <f t="shared" si="83"/>
        <v>2.8767999999999998</v>
      </c>
      <c r="AM131" s="37">
        <f t="shared" si="84"/>
        <v>1.1897599999999999</v>
      </c>
      <c r="AN131" s="40">
        <f t="shared" si="66"/>
        <v>4.06656</v>
      </c>
      <c r="AO131" s="39">
        <f t="shared" si="85"/>
        <v>0.43377240965646457</v>
      </c>
      <c r="AP131" s="37">
        <f t="shared" si="86"/>
        <v>0.58509</v>
      </c>
      <c r="AQ131" s="40">
        <f t="shared" si="87"/>
        <v>6.7499999999999999E-3</v>
      </c>
      <c r="AR131" s="39">
        <f t="shared" si="67"/>
        <v>46.393431854668236</v>
      </c>
      <c r="AS131" s="37">
        <f t="shared" si="68"/>
        <v>265.36</v>
      </c>
      <c r="AT131" s="40">
        <f t="shared" si="69"/>
        <v>85.118549753031843</v>
      </c>
    </row>
    <row r="132" spans="17:46" x14ac:dyDescent="0.25">
      <c r="Q132">
        <v>125</v>
      </c>
      <c r="R132" s="39">
        <f t="shared" si="45"/>
        <v>53.5</v>
      </c>
      <c r="S132" s="37">
        <f t="shared" si="73"/>
        <v>5</v>
      </c>
      <c r="T132" s="37">
        <f t="shared" si="47"/>
        <v>15</v>
      </c>
      <c r="U132" s="40">
        <f t="shared" si="74"/>
        <v>19.814814814814813</v>
      </c>
      <c r="V132" s="39">
        <f t="shared" si="75"/>
        <v>2</v>
      </c>
      <c r="W132" s="37">
        <f t="shared" si="76"/>
        <v>0.71962616822429903</v>
      </c>
      <c r="X132" s="40">
        <f t="shared" si="77"/>
        <v>0.28037383177570097</v>
      </c>
      <c r="Y132" s="39">
        <f t="shared" si="78"/>
        <v>13.629283489096572</v>
      </c>
      <c r="Z132" s="37">
        <f t="shared" si="71"/>
        <v>26.629456559363099</v>
      </c>
      <c r="AA132" s="37">
        <f t="shared" si="72"/>
        <v>20.201650102097716</v>
      </c>
      <c r="AB132" s="37">
        <v>0</v>
      </c>
      <c r="AC132" s="37">
        <f t="shared" si="79"/>
        <v>0.81621333369516935</v>
      </c>
      <c r="AD132" s="40">
        <f t="shared" si="62"/>
        <v>0.81621333369516935</v>
      </c>
      <c r="AE132" s="39">
        <f t="shared" si="70"/>
        <v>14.259259259259258</v>
      </c>
      <c r="AF132" s="37">
        <f t="shared" si="63"/>
        <v>17.137217886527495</v>
      </c>
      <c r="AG132" s="37">
        <f t="shared" si="80"/>
        <v>0</v>
      </c>
      <c r="AH132" s="37">
        <f t="shared" si="81"/>
        <v>40.824153140556277</v>
      </c>
      <c r="AI132" s="40">
        <f t="shared" si="64"/>
        <v>40.824153140556277</v>
      </c>
      <c r="AJ132" s="39">
        <f t="shared" si="65"/>
        <v>5.5555555555555554</v>
      </c>
      <c r="AK132" s="37">
        <f t="shared" si="82"/>
        <v>10.696842055357587</v>
      </c>
      <c r="AL132" s="37">
        <f t="shared" si="83"/>
        <v>2.9</v>
      </c>
      <c r="AM132" s="37">
        <f t="shared" si="84"/>
        <v>1.1897599999999999</v>
      </c>
      <c r="AN132" s="40">
        <f t="shared" si="66"/>
        <v>4.0897600000000001</v>
      </c>
      <c r="AO132" s="39">
        <f t="shared" si="85"/>
        <v>0.44052635533547685</v>
      </c>
      <c r="AP132" s="37">
        <f t="shared" si="86"/>
        <v>0.58509</v>
      </c>
      <c r="AQ132" s="40">
        <f t="shared" si="87"/>
        <v>6.7499999999999999E-3</v>
      </c>
      <c r="AR132" s="39">
        <f t="shared" si="67"/>
        <v>46.762492829586918</v>
      </c>
      <c r="AS132" s="37">
        <f t="shared" si="68"/>
        <v>267.5</v>
      </c>
      <c r="AT132" s="40">
        <f t="shared" si="69"/>
        <v>85.119925572873086</v>
      </c>
    </row>
    <row r="133" spans="17:46" x14ac:dyDescent="0.25">
      <c r="Q133">
        <v>126</v>
      </c>
      <c r="R133" s="39">
        <f t="shared" si="45"/>
        <v>53.5</v>
      </c>
      <c r="S133" s="37">
        <f t="shared" si="73"/>
        <v>5.04</v>
      </c>
      <c r="T133" s="37">
        <f t="shared" si="47"/>
        <v>15</v>
      </c>
      <c r="U133" s="40">
        <f t="shared" si="74"/>
        <v>19.973333333333333</v>
      </c>
      <c r="V133" s="39">
        <f t="shared" si="75"/>
        <v>2</v>
      </c>
      <c r="W133" s="37">
        <f t="shared" si="76"/>
        <v>0.71962616822429903</v>
      </c>
      <c r="X133" s="40">
        <f t="shared" si="77"/>
        <v>0.28037383177570097</v>
      </c>
      <c r="Y133" s="39">
        <f t="shared" si="78"/>
        <v>13.629283489096572</v>
      </c>
      <c r="Z133" s="37">
        <f t="shared" si="71"/>
        <v>26.787975077881619</v>
      </c>
      <c r="AA133" s="37">
        <f t="shared" si="72"/>
        <v>20.357156607606683</v>
      </c>
      <c r="AB133" s="37">
        <v>0</v>
      </c>
      <c r="AC133" s="37">
        <f t="shared" si="79"/>
        <v>0.8288276502932489</v>
      </c>
      <c r="AD133" s="40">
        <f t="shared" si="62"/>
        <v>0.8288276502932489</v>
      </c>
      <c r="AE133" s="39">
        <f t="shared" si="70"/>
        <v>14.373333333333333</v>
      </c>
      <c r="AF133" s="37">
        <f t="shared" si="63"/>
        <v>17.269135272197044</v>
      </c>
      <c r="AG133" s="37">
        <f t="shared" si="80"/>
        <v>0</v>
      </c>
      <c r="AH133" s="37">
        <f t="shared" si="81"/>
        <v>41.150746365680718</v>
      </c>
      <c r="AI133" s="40">
        <f t="shared" si="64"/>
        <v>41.150746365680718</v>
      </c>
      <c r="AJ133" s="39">
        <f t="shared" si="65"/>
        <v>5.6000000000000005</v>
      </c>
      <c r="AK133" s="37">
        <f t="shared" si="82"/>
        <v>10.779183275980813</v>
      </c>
      <c r="AL133" s="37">
        <f t="shared" si="83"/>
        <v>2.9232</v>
      </c>
      <c r="AM133" s="37">
        <f t="shared" si="84"/>
        <v>1.1897599999999999</v>
      </c>
      <c r="AN133" s="40">
        <f t="shared" si="66"/>
        <v>4.1129600000000002</v>
      </c>
      <c r="AO133" s="39">
        <f t="shared" si="85"/>
        <v>0.44733454957416008</v>
      </c>
      <c r="AP133" s="37">
        <f t="shared" si="86"/>
        <v>0.58509</v>
      </c>
      <c r="AQ133" s="40">
        <f t="shared" si="87"/>
        <v>6.7499999999999999E-3</v>
      </c>
      <c r="AR133" s="39">
        <f t="shared" si="67"/>
        <v>47.131708565548124</v>
      </c>
      <c r="AS133" s="37">
        <f t="shared" si="68"/>
        <v>269.64</v>
      </c>
      <c r="AT133" s="40">
        <f t="shared" si="69"/>
        <v>85.121238011128952</v>
      </c>
    </row>
    <row r="134" spans="17:46" x14ac:dyDescent="0.25">
      <c r="Q134">
        <v>127</v>
      </c>
      <c r="R134" s="39">
        <f t="shared" si="45"/>
        <v>53.5</v>
      </c>
      <c r="S134" s="37">
        <f t="shared" si="73"/>
        <v>5.08</v>
      </c>
      <c r="T134" s="37">
        <f t="shared" si="47"/>
        <v>15</v>
      </c>
      <c r="U134" s="40">
        <f t="shared" si="74"/>
        <v>20.131851851851852</v>
      </c>
      <c r="V134" s="39">
        <f t="shared" si="75"/>
        <v>2</v>
      </c>
      <c r="W134" s="37">
        <f t="shared" si="76"/>
        <v>0.71962616822429903</v>
      </c>
      <c r="X134" s="40">
        <f t="shared" si="77"/>
        <v>0.28037383177570097</v>
      </c>
      <c r="Y134" s="39">
        <f t="shared" si="78"/>
        <v>13.629283489096572</v>
      </c>
      <c r="Z134" s="37">
        <f t="shared" si="71"/>
        <v>26.946493596400138</v>
      </c>
      <c r="AA134" s="37">
        <f t="shared" si="72"/>
        <v>20.512709223481206</v>
      </c>
      <c r="AB134" s="37">
        <v>0</v>
      </c>
      <c r="AC134" s="37">
        <f t="shared" si="79"/>
        <v>0.84154247937418192</v>
      </c>
      <c r="AD134" s="40">
        <f t="shared" si="62"/>
        <v>0.84154247937418192</v>
      </c>
      <c r="AE134" s="39">
        <f t="shared" si="70"/>
        <v>14.487407407407407</v>
      </c>
      <c r="AF134" s="37">
        <f t="shared" si="63"/>
        <v>17.401091773650567</v>
      </c>
      <c r="AG134" s="37">
        <f t="shared" si="80"/>
        <v>0</v>
      </c>
      <c r="AH134" s="37">
        <f t="shared" si="81"/>
        <v>41.477339590805173</v>
      </c>
      <c r="AI134" s="40">
        <f t="shared" si="64"/>
        <v>41.477339590805173</v>
      </c>
      <c r="AJ134" s="39">
        <f t="shared" si="65"/>
        <v>5.6444444444444448</v>
      </c>
      <c r="AK134" s="37">
        <f t="shared" si="82"/>
        <v>10.861548912198554</v>
      </c>
      <c r="AL134" s="37">
        <f t="shared" si="83"/>
        <v>2.9463999999999997</v>
      </c>
      <c r="AM134" s="37">
        <f t="shared" si="84"/>
        <v>1.1897599999999999</v>
      </c>
      <c r="AN134" s="40">
        <f t="shared" si="66"/>
        <v>4.1361599999999994</v>
      </c>
      <c r="AO134" s="39">
        <f t="shared" si="85"/>
        <v>0.45419699237251415</v>
      </c>
      <c r="AP134" s="37">
        <f t="shared" si="86"/>
        <v>0.58509</v>
      </c>
      <c r="AQ134" s="40">
        <f t="shared" si="87"/>
        <v>6.7499999999999999E-3</v>
      </c>
      <c r="AR134" s="39">
        <f t="shared" si="67"/>
        <v>47.501079062551867</v>
      </c>
      <c r="AS134" s="37">
        <f t="shared" si="68"/>
        <v>271.78000000000003</v>
      </c>
      <c r="AT134" s="40">
        <f t="shared" si="69"/>
        <v>85.122488560230124</v>
      </c>
    </row>
    <row r="135" spans="17:46" x14ac:dyDescent="0.25">
      <c r="Q135">
        <v>128</v>
      </c>
      <c r="R135" s="39">
        <f t="shared" ref="R135:R157" si="88">VOUT</f>
        <v>53.5</v>
      </c>
      <c r="S135" s="37">
        <f t="shared" ref="S135:S157" si="89">Q135*$O$12</f>
        <v>5.12</v>
      </c>
      <c r="T135" s="37">
        <f t="shared" ref="T135:T157" si="90">VIN_var</f>
        <v>15</v>
      </c>
      <c r="U135" s="40">
        <f t="shared" ref="U135:U157" si="91">(R135*S135)/(T135*EFF_est)</f>
        <v>20.290370370370372</v>
      </c>
      <c r="V135" s="39">
        <f t="shared" ref="V135:V157" si="92">IF((S135*R135/T135)&lt;((T135*(1-(T135/R135)))/(2*Lm*Fsw)),1,2)</f>
        <v>2</v>
      </c>
      <c r="W135" s="37">
        <f t="shared" ref="W135:W157" si="93">CHOOSE(V135,SQRT((2*S135*Lm*Fsw*(R135-T135))/((T135)^2)),1-(T135/R135))</f>
        <v>0.71962616822429903</v>
      </c>
      <c r="X135" s="40">
        <f t="shared" ref="X135:X157" si="94">CHOOSE(V135,(Lm*W135*Fsw)/(R135-T135),1-W135)</f>
        <v>0.28037383177570097</v>
      </c>
      <c r="Y135" s="39">
        <f t="shared" ref="Y135:Y157" si="95">(T135*W135)/(Lm*Fsw)</f>
        <v>13.629283489096572</v>
      </c>
      <c r="Z135" s="37">
        <f t="shared" si="71"/>
        <v>27.105012114918658</v>
      </c>
      <c r="AA135" s="37">
        <f t="shared" si="72"/>
        <v>20.668306908621808</v>
      </c>
      <c r="AB135" s="37">
        <v>0</v>
      </c>
      <c r="AC135" s="37">
        <f t="shared" ref="AC135:AC157" si="96">(AA135^2)*Rdcr</f>
        <v>0.85435782093796797</v>
      </c>
      <c r="AD135" s="40">
        <f t="shared" si="62"/>
        <v>0.85435782093796797</v>
      </c>
      <c r="AE135" s="39">
        <f t="shared" si="70"/>
        <v>14.601481481481482</v>
      </c>
      <c r="AF135" s="37">
        <f t="shared" si="63"/>
        <v>17.533086507715232</v>
      </c>
      <c r="AG135" s="37">
        <f t="shared" ref="AG135:AG157" si="97">(AF135^2)*RDS_on</f>
        <v>0</v>
      </c>
      <c r="AH135" s="37">
        <f t="shared" ref="AH135:AH157" si="98">((R135*U135)/2)*Fsw*(tr_sw+tf_sw)</f>
        <v>41.803932815929628</v>
      </c>
      <c r="AI135" s="40">
        <f t="shared" si="64"/>
        <v>41.803932815929628</v>
      </c>
      <c r="AJ135" s="39">
        <f t="shared" si="65"/>
        <v>5.68888888888889</v>
      </c>
      <c r="AK135" s="37">
        <f t="shared" ref="AK135:AK157" si="99">CHOOSE(V135,Z135*SQRT(X135/3),SQRT(X135*((Z135^2)+((Y135^2)/3)-(Y135*Z135))))</f>
        <v>10.943938412745119</v>
      </c>
      <c r="AL135" s="37">
        <f t="shared" ref="AL135:AL157" si="100">S135*Vd_rect</f>
        <v>2.9695999999999998</v>
      </c>
      <c r="AM135" s="37">
        <f t="shared" ref="AM135:AM157" si="101">CHOOSE(V135,(R135+Vd_rect)*Qrr*Fsw,(R135+Vd_rect)*Qrr*Fsw)</f>
        <v>1.1897599999999999</v>
      </c>
      <c r="AN135" s="40">
        <f t="shared" si="66"/>
        <v>4.1593599999999995</v>
      </c>
      <c r="AO135" s="39">
        <f t="shared" ref="AO135:AO157" si="102">(AF135^2)*R_cs</f>
        <v>0.4611136837305389</v>
      </c>
      <c r="AP135" s="37">
        <f t="shared" ref="AP135:AP157" si="103">Qg_tot*Vcc*Fsw</f>
        <v>0.58509</v>
      </c>
      <c r="AQ135" s="40">
        <f t="shared" ref="AQ135:AQ157" si="104">IQ*T135</f>
        <v>6.7499999999999999E-3</v>
      </c>
      <c r="AR135" s="39">
        <f t="shared" si="67"/>
        <v>47.870604320598133</v>
      </c>
      <c r="AS135" s="37">
        <f t="shared" si="68"/>
        <v>273.92</v>
      </c>
      <c r="AT135" s="40">
        <f t="shared" si="69"/>
        <v>85.123678666234483</v>
      </c>
    </row>
    <row r="136" spans="17:46" x14ac:dyDescent="0.25">
      <c r="Q136">
        <v>129</v>
      </c>
      <c r="R136" s="39">
        <f t="shared" si="88"/>
        <v>53.5</v>
      </c>
      <c r="S136" s="37">
        <f t="shared" si="89"/>
        <v>5.16</v>
      </c>
      <c r="T136" s="37">
        <f t="shared" si="90"/>
        <v>15</v>
      </c>
      <c r="U136" s="40">
        <f t="shared" si="91"/>
        <v>20.448888888888888</v>
      </c>
      <c r="V136" s="39">
        <f t="shared" si="92"/>
        <v>2</v>
      </c>
      <c r="W136" s="37">
        <f t="shared" si="93"/>
        <v>0.71962616822429903</v>
      </c>
      <c r="X136" s="40">
        <f t="shared" si="94"/>
        <v>0.28037383177570097</v>
      </c>
      <c r="Y136" s="39">
        <f t="shared" si="95"/>
        <v>13.629283489096572</v>
      </c>
      <c r="Z136" s="37">
        <f t="shared" si="71"/>
        <v>27.263530633437174</v>
      </c>
      <c r="AA136" s="37">
        <f t="shared" si="72"/>
        <v>20.823948652748438</v>
      </c>
      <c r="AB136" s="37">
        <v>0</v>
      </c>
      <c r="AC136" s="37">
        <f t="shared" si="96"/>
        <v>0.86727367498460695</v>
      </c>
      <c r="AD136" s="40">
        <f t="shared" ref="AD136:AD157" si="105">AB136+AC136</f>
        <v>0.86727367498460695</v>
      </c>
      <c r="AE136" s="39">
        <f t="shared" si="70"/>
        <v>14.715555555555554</v>
      </c>
      <c r="AF136" s="37">
        <f t="shared" ref="AF136:AF157" si="106">CHOOSE(V136,Z136*SQRT(W136/3),SQRT(W136*((Z136^2)+((Y136^2)/3)-(Z136*Y136))))</f>
        <v>17.665118617362563</v>
      </c>
      <c r="AG136" s="37">
        <f t="shared" si="97"/>
        <v>0</v>
      </c>
      <c r="AH136" s="37">
        <f t="shared" si="98"/>
        <v>42.130526041054068</v>
      </c>
      <c r="AI136" s="40">
        <f t="shared" ref="AI136:AI157" si="107">AG136+AH136</f>
        <v>42.130526041054068</v>
      </c>
      <c r="AJ136" s="39">
        <f t="shared" ref="AJ136:AJ156" si="108">X136*U136</f>
        <v>5.7333333333333334</v>
      </c>
      <c r="AK136" s="37">
        <f t="shared" si="99"/>
        <v>11.026351242673801</v>
      </c>
      <c r="AL136" s="37">
        <f t="shared" si="100"/>
        <v>2.9927999999999999</v>
      </c>
      <c r="AM136" s="37">
        <f t="shared" si="101"/>
        <v>1.1897599999999999</v>
      </c>
      <c r="AN136" s="40">
        <f t="shared" ref="AN136:AN157" si="109">AL136+AM136</f>
        <v>4.1825599999999996</v>
      </c>
      <c r="AO136" s="39">
        <f t="shared" si="102"/>
        <v>0.46808462364823411</v>
      </c>
      <c r="AP136" s="37">
        <f t="shared" si="103"/>
        <v>0.58509</v>
      </c>
      <c r="AQ136" s="40">
        <f t="shared" si="104"/>
        <v>6.7499999999999999E-3</v>
      </c>
      <c r="AR136" s="39">
        <f t="shared" ref="AR136:AR157" si="110">AO136+AN136+AI136+AD136+AP136+AQ136</f>
        <v>48.240284339686909</v>
      </c>
      <c r="AS136" s="37">
        <f t="shared" ref="AS136:AS157" si="111">R136*S136</f>
        <v>276.06</v>
      </c>
      <c r="AT136" s="40">
        <f t="shared" ref="AT136:AT156" si="112">(AS136/(AS136+AR136))*100</f>
        <v>85.124809730614402</v>
      </c>
    </row>
    <row r="137" spans="17:46" x14ac:dyDescent="0.25">
      <c r="Q137">
        <v>130</v>
      </c>
      <c r="R137" s="39">
        <f t="shared" si="88"/>
        <v>53.5</v>
      </c>
      <c r="S137" s="37">
        <f t="shared" si="89"/>
        <v>5.2</v>
      </c>
      <c r="T137" s="37">
        <f t="shared" si="90"/>
        <v>15</v>
      </c>
      <c r="U137" s="40">
        <f t="shared" si="91"/>
        <v>20.607407407407408</v>
      </c>
      <c r="V137" s="39">
        <f t="shared" si="92"/>
        <v>2</v>
      </c>
      <c r="W137" s="37">
        <f t="shared" si="93"/>
        <v>0.71962616822429903</v>
      </c>
      <c r="X137" s="40">
        <f t="shared" si="94"/>
        <v>0.28037383177570097</v>
      </c>
      <c r="Y137" s="39">
        <f t="shared" si="95"/>
        <v>13.629283489096572</v>
      </c>
      <c r="Z137" s="37">
        <f t="shared" si="71"/>
        <v>27.422049151955694</v>
      </c>
      <c r="AA137" s="37">
        <f t="shared" si="72"/>
        <v>20.979633475279059</v>
      </c>
      <c r="AB137" s="37">
        <v>0</v>
      </c>
      <c r="AC137" s="37">
        <f t="shared" si="96"/>
        <v>0.8802900415140994</v>
      </c>
      <c r="AD137" s="40">
        <f t="shared" si="105"/>
        <v>0.8802900415140994</v>
      </c>
      <c r="AE137" s="39">
        <f t="shared" ref="AE137:AE157" si="113">U137*W137</f>
        <v>14.829629629629629</v>
      </c>
      <c r="AF137" s="37">
        <f t="shared" si="106"/>
        <v>17.797187270757149</v>
      </c>
      <c r="AG137" s="37">
        <f t="shared" si="97"/>
        <v>0</v>
      </c>
      <c r="AH137" s="37">
        <f t="shared" si="98"/>
        <v>42.457119266178523</v>
      </c>
      <c r="AI137" s="40">
        <f t="shared" si="107"/>
        <v>42.457119266178523</v>
      </c>
      <c r="AJ137" s="39">
        <f t="shared" si="108"/>
        <v>5.7777777777777786</v>
      </c>
      <c r="AK137" s="37">
        <f t="shared" si="99"/>
        <v>11.108786882763098</v>
      </c>
      <c r="AL137" s="37">
        <f t="shared" si="100"/>
        <v>3.016</v>
      </c>
      <c r="AM137" s="37">
        <f t="shared" si="101"/>
        <v>1.1897599999999999</v>
      </c>
      <c r="AN137" s="40">
        <f t="shared" si="109"/>
        <v>4.2057599999999997</v>
      </c>
      <c r="AO137" s="39">
        <f t="shared" si="102"/>
        <v>0.47510981212560044</v>
      </c>
      <c r="AP137" s="37">
        <f t="shared" si="103"/>
        <v>0.58509</v>
      </c>
      <c r="AQ137" s="40">
        <f t="shared" si="104"/>
        <v>6.7499999999999999E-3</v>
      </c>
      <c r="AR137" s="39">
        <f t="shared" si="110"/>
        <v>48.610119119818222</v>
      </c>
      <c r="AS137" s="37">
        <f t="shared" si="111"/>
        <v>278.2</v>
      </c>
      <c r="AT137" s="40">
        <f t="shared" si="112"/>
        <v>85.125883111961926</v>
      </c>
    </row>
    <row r="138" spans="17:46" x14ac:dyDescent="0.25">
      <c r="Q138">
        <v>131</v>
      </c>
      <c r="R138" s="39">
        <f t="shared" si="88"/>
        <v>53.5</v>
      </c>
      <c r="S138" s="37">
        <f t="shared" si="89"/>
        <v>5.24</v>
      </c>
      <c r="T138" s="37">
        <f t="shared" si="90"/>
        <v>15</v>
      </c>
      <c r="U138" s="40">
        <f t="shared" si="91"/>
        <v>20.765925925925927</v>
      </c>
      <c r="V138" s="39">
        <f t="shared" si="92"/>
        <v>2</v>
      </c>
      <c r="W138" s="37">
        <f t="shared" si="93"/>
        <v>0.71962616822429903</v>
      </c>
      <c r="X138" s="40">
        <f t="shared" si="94"/>
        <v>0.28037383177570097</v>
      </c>
      <c r="Y138" s="39">
        <f t="shared" si="95"/>
        <v>13.629283489096572</v>
      </c>
      <c r="Z138" s="37">
        <f t="shared" si="71"/>
        <v>27.580567670474213</v>
      </c>
      <c r="AA138" s="37">
        <f t="shared" si="72"/>
        <v>21.135360424256376</v>
      </c>
      <c r="AB138" s="37">
        <v>0</v>
      </c>
      <c r="AC138" s="37">
        <f t="shared" si="96"/>
        <v>0.89340692052644533</v>
      </c>
      <c r="AD138" s="40">
        <f t="shared" si="105"/>
        <v>0.89340692052644533</v>
      </c>
      <c r="AE138" s="39">
        <f t="shared" si="113"/>
        <v>14.943703703703704</v>
      </c>
      <c r="AF138" s="37">
        <f t="shared" si="106"/>
        <v>17.929291660346159</v>
      </c>
      <c r="AG138" s="37">
        <f t="shared" si="97"/>
        <v>0</v>
      </c>
      <c r="AH138" s="37">
        <f t="shared" si="98"/>
        <v>42.783712491302978</v>
      </c>
      <c r="AI138" s="40">
        <f t="shared" si="107"/>
        <v>42.783712491302978</v>
      </c>
      <c r="AJ138" s="39">
        <f t="shared" si="108"/>
        <v>5.8222222222222229</v>
      </c>
      <c r="AK138" s="37">
        <f t="shared" si="99"/>
        <v>11.191244828948399</v>
      </c>
      <c r="AL138" s="37">
        <f t="shared" si="100"/>
        <v>3.0392000000000001</v>
      </c>
      <c r="AM138" s="37">
        <f t="shared" si="101"/>
        <v>1.1897599999999999</v>
      </c>
      <c r="AN138" s="40">
        <f t="shared" si="109"/>
        <v>4.2289599999999998</v>
      </c>
      <c r="AO138" s="39">
        <f t="shared" si="102"/>
        <v>0.4821892491626375</v>
      </c>
      <c r="AP138" s="37">
        <f t="shared" si="103"/>
        <v>0.58509</v>
      </c>
      <c r="AQ138" s="40">
        <f t="shared" si="104"/>
        <v>6.7499999999999999E-3</v>
      </c>
      <c r="AR138" s="39">
        <f t="shared" si="110"/>
        <v>48.980108660992059</v>
      </c>
      <c r="AS138" s="37">
        <f t="shared" si="111"/>
        <v>280.34000000000003</v>
      </c>
      <c r="AT138" s="40">
        <f t="shared" si="112"/>
        <v>85.126900127616238</v>
      </c>
    </row>
    <row r="139" spans="17:46" x14ac:dyDescent="0.25">
      <c r="Q139">
        <v>132</v>
      </c>
      <c r="R139" s="39">
        <f t="shared" si="88"/>
        <v>53.5</v>
      </c>
      <c r="S139" s="37">
        <f t="shared" si="89"/>
        <v>5.28</v>
      </c>
      <c r="T139" s="37">
        <f t="shared" si="90"/>
        <v>15</v>
      </c>
      <c r="U139" s="40">
        <f t="shared" si="91"/>
        <v>20.924444444444447</v>
      </c>
      <c r="V139" s="39">
        <f t="shared" si="92"/>
        <v>2</v>
      </c>
      <c r="W139" s="37">
        <f t="shared" si="93"/>
        <v>0.71962616822429903</v>
      </c>
      <c r="X139" s="40">
        <f t="shared" si="94"/>
        <v>0.28037383177570097</v>
      </c>
      <c r="Y139" s="39">
        <f t="shared" si="95"/>
        <v>13.629283489096572</v>
      </c>
      <c r="Z139" s="37">
        <f t="shared" si="71"/>
        <v>27.739086188992733</v>
      </c>
      <c r="AA139" s="37">
        <f t="shared" si="72"/>
        <v>21.291128575320336</v>
      </c>
      <c r="AB139" s="37">
        <v>0</v>
      </c>
      <c r="AC139" s="37">
        <f t="shared" si="96"/>
        <v>0.90662431202164429</v>
      </c>
      <c r="AD139" s="40">
        <f t="shared" si="105"/>
        <v>0.90662431202164429</v>
      </c>
      <c r="AE139" s="39">
        <f t="shared" si="113"/>
        <v>15.05777777777778</v>
      </c>
      <c r="AF139" s="37">
        <f t="shared" si="106"/>
        <v>18.061431001987732</v>
      </c>
      <c r="AG139" s="37">
        <f t="shared" si="97"/>
        <v>0</v>
      </c>
      <c r="AH139" s="37">
        <f t="shared" si="98"/>
        <v>43.110305716427426</v>
      </c>
      <c r="AI139" s="40">
        <f t="shared" si="107"/>
        <v>43.110305716427426</v>
      </c>
      <c r="AJ139" s="39">
        <f t="shared" si="108"/>
        <v>5.866666666666668</v>
      </c>
      <c r="AK139" s="37">
        <f t="shared" si="99"/>
        <v>11.273724591777935</v>
      </c>
      <c r="AL139" s="37">
        <f t="shared" si="100"/>
        <v>3.0623999999999998</v>
      </c>
      <c r="AM139" s="37">
        <f t="shared" si="101"/>
        <v>1.1897599999999999</v>
      </c>
      <c r="AN139" s="40">
        <f t="shared" si="109"/>
        <v>4.2521599999999999</v>
      </c>
      <c r="AO139" s="39">
        <f t="shared" si="102"/>
        <v>0.4893229347593453</v>
      </c>
      <c r="AP139" s="37">
        <f t="shared" si="103"/>
        <v>0.58509</v>
      </c>
      <c r="AQ139" s="40">
        <f t="shared" si="104"/>
        <v>6.7499999999999999E-3</v>
      </c>
      <c r="AR139" s="39">
        <f t="shared" si="110"/>
        <v>49.350252963208412</v>
      </c>
      <c r="AS139" s="37">
        <f t="shared" si="111"/>
        <v>282.48</v>
      </c>
      <c r="AT139" s="40">
        <f t="shared" si="112"/>
        <v>85.127862055217705</v>
      </c>
    </row>
    <row r="140" spans="17:46" x14ac:dyDescent="0.25">
      <c r="Q140">
        <v>133</v>
      </c>
      <c r="R140" s="39">
        <f t="shared" si="88"/>
        <v>53.5</v>
      </c>
      <c r="S140" s="37">
        <f t="shared" si="89"/>
        <v>5.32</v>
      </c>
      <c r="T140" s="37">
        <f t="shared" si="90"/>
        <v>15</v>
      </c>
      <c r="U140" s="40">
        <f t="shared" si="91"/>
        <v>21.082962962962963</v>
      </c>
      <c r="V140" s="39">
        <f t="shared" si="92"/>
        <v>2</v>
      </c>
      <c r="W140" s="37">
        <f t="shared" si="93"/>
        <v>0.71962616822429903</v>
      </c>
      <c r="X140" s="40">
        <f t="shared" si="94"/>
        <v>0.28037383177570097</v>
      </c>
      <c r="Y140" s="39">
        <f t="shared" si="95"/>
        <v>13.629283489096572</v>
      </c>
      <c r="Z140" s="37">
        <f t="shared" si="71"/>
        <v>27.897604707511249</v>
      </c>
      <c r="AA140" s="37">
        <f t="shared" si="72"/>
        <v>21.446937030724179</v>
      </c>
      <c r="AB140" s="37">
        <v>0</v>
      </c>
      <c r="AC140" s="37">
        <f t="shared" si="96"/>
        <v>0.91994221599969617</v>
      </c>
      <c r="AD140" s="40">
        <f t="shared" si="105"/>
        <v>0.91994221599969617</v>
      </c>
      <c r="AE140" s="39">
        <f t="shared" si="113"/>
        <v>15.171851851851851</v>
      </c>
      <c r="AF140" s="37">
        <f t="shared" si="106"/>
        <v>18.193604534116265</v>
      </c>
      <c r="AG140" s="37">
        <f t="shared" si="97"/>
        <v>0</v>
      </c>
      <c r="AH140" s="37">
        <f t="shared" si="98"/>
        <v>43.436898941551874</v>
      </c>
      <c r="AI140" s="40">
        <f t="shared" si="107"/>
        <v>43.436898941551874</v>
      </c>
      <c r="AJ140" s="39">
        <f t="shared" si="108"/>
        <v>5.9111111111111114</v>
      </c>
      <c r="AK140" s="37">
        <f t="shared" si="99"/>
        <v>11.356225695891753</v>
      </c>
      <c r="AL140" s="37">
        <f t="shared" si="100"/>
        <v>3.0855999999999999</v>
      </c>
      <c r="AM140" s="37">
        <f t="shared" si="101"/>
        <v>1.1897599999999999</v>
      </c>
      <c r="AN140" s="40">
        <f t="shared" si="109"/>
        <v>4.27536</v>
      </c>
      <c r="AO140" s="39">
        <f t="shared" si="102"/>
        <v>0.49651086891572388</v>
      </c>
      <c r="AP140" s="37">
        <f t="shared" si="103"/>
        <v>0.58509</v>
      </c>
      <c r="AQ140" s="40">
        <f t="shared" si="104"/>
        <v>6.7499999999999999E-3</v>
      </c>
      <c r="AR140" s="39">
        <f t="shared" si="110"/>
        <v>49.720552026467296</v>
      </c>
      <c r="AS140" s="37">
        <f t="shared" si="111"/>
        <v>284.62</v>
      </c>
      <c r="AT140" s="40">
        <f t="shared" si="112"/>
        <v>85.12877013419201</v>
      </c>
    </row>
    <row r="141" spans="17:46" x14ac:dyDescent="0.25">
      <c r="Q141">
        <v>134</v>
      </c>
      <c r="R141" s="39">
        <f t="shared" si="88"/>
        <v>53.5</v>
      </c>
      <c r="S141" s="37">
        <f t="shared" si="89"/>
        <v>5.36</v>
      </c>
      <c r="T141" s="37">
        <f t="shared" si="90"/>
        <v>15</v>
      </c>
      <c r="U141" s="40">
        <f t="shared" si="91"/>
        <v>21.241481481481483</v>
      </c>
      <c r="V141" s="39">
        <f t="shared" si="92"/>
        <v>2</v>
      </c>
      <c r="W141" s="37">
        <f t="shared" si="93"/>
        <v>0.71962616822429903</v>
      </c>
      <c r="X141" s="40">
        <f t="shared" si="94"/>
        <v>0.28037383177570097</v>
      </c>
      <c r="Y141" s="39">
        <f t="shared" si="95"/>
        <v>13.629283489096572</v>
      </c>
      <c r="Z141" s="37">
        <f t="shared" si="71"/>
        <v>28.056123226029769</v>
      </c>
      <c r="AA141" s="37">
        <f t="shared" si="72"/>
        <v>21.602784918391908</v>
      </c>
      <c r="AB141" s="37">
        <v>0</v>
      </c>
      <c r="AC141" s="37">
        <f t="shared" si="96"/>
        <v>0.93336063246060175</v>
      </c>
      <c r="AD141" s="40">
        <f t="shared" si="105"/>
        <v>0.93336063246060175</v>
      </c>
      <c r="AE141" s="39">
        <f t="shared" si="113"/>
        <v>15.285925925925927</v>
      </c>
      <c r="AF141" s="37">
        <f t="shared" si="106"/>
        <v>18.32581151694286</v>
      </c>
      <c r="AG141" s="37">
        <f t="shared" si="97"/>
        <v>0</v>
      </c>
      <c r="AH141" s="37">
        <f t="shared" si="98"/>
        <v>43.763492166676322</v>
      </c>
      <c r="AI141" s="40">
        <f t="shared" si="107"/>
        <v>43.763492166676322</v>
      </c>
      <c r="AJ141" s="39">
        <f t="shared" si="108"/>
        <v>5.9555555555555566</v>
      </c>
      <c r="AK141" s="37">
        <f t="shared" si="99"/>
        <v>11.43874767952267</v>
      </c>
      <c r="AL141" s="37">
        <f t="shared" si="100"/>
        <v>3.1088</v>
      </c>
      <c r="AM141" s="37">
        <f t="shared" si="101"/>
        <v>1.1897599999999999</v>
      </c>
      <c r="AN141" s="40">
        <f t="shared" si="109"/>
        <v>4.2985600000000002</v>
      </c>
      <c r="AO141" s="39">
        <f t="shared" si="102"/>
        <v>0.50375305163177342</v>
      </c>
      <c r="AP141" s="37">
        <f t="shared" si="103"/>
        <v>0.58509</v>
      </c>
      <c r="AQ141" s="40">
        <f t="shared" si="104"/>
        <v>6.7499999999999999E-3</v>
      </c>
      <c r="AR141" s="39">
        <f t="shared" si="110"/>
        <v>50.091005850768695</v>
      </c>
      <c r="AS141" s="37">
        <f t="shared" si="111"/>
        <v>286.76</v>
      </c>
      <c r="AT141" s="40">
        <f t="shared" si="112"/>
        <v>85.129625567168432</v>
      </c>
    </row>
    <row r="142" spans="17:46" x14ac:dyDescent="0.25">
      <c r="Q142">
        <v>135</v>
      </c>
      <c r="R142" s="39">
        <f t="shared" si="88"/>
        <v>53.5</v>
      </c>
      <c r="S142" s="37">
        <f t="shared" si="89"/>
        <v>5.4</v>
      </c>
      <c r="T142" s="37">
        <f t="shared" si="90"/>
        <v>15</v>
      </c>
      <c r="U142" s="40">
        <f t="shared" si="91"/>
        <v>21.400000000000002</v>
      </c>
      <c r="V142" s="39">
        <f t="shared" si="92"/>
        <v>2</v>
      </c>
      <c r="W142" s="37">
        <f t="shared" si="93"/>
        <v>0.71962616822429903</v>
      </c>
      <c r="X142" s="40">
        <f t="shared" si="94"/>
        <v>0.28037383177570097</v>
      </c>
      <c r="Y142" s="39">
        <f t="shared" si="95"/>
        <v>13.629283489096572</v>
      </c>
      <c r="Z142" s="37">
        <f t="shared" si="71"/>
        <v>28.214641744548288</v>
      </c>
      <c r="AA142" s="37">
        <f t="shared" si="72"/>
        <v>21.758671391015127</v>
      </c>
      <c r="AB142" s="37">
        <v>0</v>
      </c>
      <c r="AC142" s="37">
        <f t="shared" si="96"/>
        <v>0.94687956140436047</v>
      </c>
      <c r="AD142" s="40">
        <f t="shared" si="105"/>
        <v>0.94687956140436047</v>
      </c>
      <c r="AE142" s="39">
        <f t="shared" si="113"/>
        <v>15.4</v>
      </c>
      <c r="AF142" s="37">
        <f t="shared" si="106"/>
        <v>18.458051231689176</v>
      </c>
      <c r="AG142" s="37">
        <f t="shared" si="97"/>
        <v>0</v>
      </c>
      <c r="AH142" s="37">
        <f t="shared" si="98"/>
        <v>44.090085391800777</v>
      </c>
      <c r="AI142" s="40">
        <f t="shared" si="107"/>
        <v>44.090085391800777</v>
      </c>
      <c r="AJ142" s="39">
        <f t="shared" si="108"/>
        <v>6.0000000000000009</v>
      </c>
      <c r="AK142" s="37">
        <f t="shared" si="99"/>
        <v>11.521290094018022</v>
      </c>
      <c r="AL142" s="37">
        <f t="shared" si="100"/>
        <v>3.1320000000000001</v>
      </c>
      <c r="AM142" s="37">
        <f t="shared" si="101"/>
        <v>1.1897599999999999</v>
      </c>
      <c r="AN142" s="40">
        <f t="shared" si="109"/>
        <v>4.3217600000000003</v>
      </c>
      <c r="AO142" s="39">
        <f t="shared" si="102"/>
        <v>0.51104948290749341</v>
      </c>
      <c r="AP142" s="37">
        <f t="shared" si="103"/>
        <v>0.58509</v>
      </c>
      <c r="AQ142" s="40">
        <f t="shared" si="104"/>
        <v>6.7499999999999999E-3</v>
      </c>
      <c r="AR142" s="39">
        <f t="shared" si="110"/>
        <v>50.461614436112626</v>
      </c>
      <c r="AS142" s="37">
        <f t="shared" si="111"/>
        <v>288.90000000000003</v>
      </c>
      <c r="AT142" s="40">
        <f t="shared" si="112"/>
        <v>85.130429521335159</v>
      </c>
    </row>
    <row r="143" spans="17:46" x14ac:dyDescent="0.25">
      <c r="Q143">
        <v>136</v>
      </c>
      <c r="R143" s="39">
        <f t="shared" si="88"/>
        <v>53.5</v>
      </c>
      <c r="S143" s="37">
        <f t="shared" si="89"/>
        <v>5.44</v>
      </c>
      <c r="T143" s="37">
        <f t="shared" si="90"/>
        <v>15</v>
      </c>
      <c r="U143" s="40">
        <f t="shared" si="91"/>
        <v>21.558518518518522</v>
      </c>
      <c r="V143" s="39">
        <f t="shared" si="92"/>
        <v>2</v>
      </c>
      <c r="W143" s="37">
        <f t="shared" si="93"/>
        <v>0.71962616822429903</v>
      </c>
      <c r="X143" s="40">
        <f t="shared" si="94"/>
        <v>0.28037383177570097</v>
      </c>
      <c r="Y143" s="39">
        <f t="shared" si="95"/>
        <v>13.629283489096572</v>
      </c>
      <c r="Z143" s="37">
        <f t="shared" si="71"/>
        <v>28.373160263066808</v>
      </c>
      <c r="AA143" s="37">
        <f t="shared" si="72"/>
        <v>21.914595625187477</v>
      </c>
      <c r="AB143" s="37">
        <v>0</v>
      </c>
      <c r="AC143" s="37">
        <f t="shared" si="96"/>
        <v>0.96049900283097223</v>
      </c>
      <c r="AD143" s="40">
        <f t="shared" si="105"/>
        <v>0.96049900283097223</v>
      </c>
      <c r="AE143" s="39">
        <f t="shared" si="113"/>
        <v>15.514074074074076</v>
      </c>
      <c r="AF143" s="37">
        <f t="shared" si="106"/>
        <v>18.590322979853156</v>
      </c>
      <c r="AG143" s="37">
        <f t="shared" si="97"/>
        <v>0</v>
      </c>
      <c r="AH143" s="37">
        <f t="shared" si="98"/>
        <v>44.416678616925232</v>
      </c>
      <c r="AI143" s="40">
        <f t="shared" si="107"/>
        <v>44.416678616925232</v>
      </c>
      <c r="AJ143" s="39">
        <f t="shared" si="108"/>
        <v>6.0444444444444461</v>
      </c>
      <c r="AK143" s="37">
        <f t="shared" si="99"/>
        <v>11.603852503381354</v>
      </c>
      <c r="AL143" s="37">
        <f t="shared" si="100"/>
        <v>3.1552000000000002</v>
      </c>
      <c r="AM143" s="37">
        <f t="shared" si="101"/>
        <v>1.1897599999999999</v>
      </c>
      <c r="AN143" s="40">
        <f t="shared" si="109"/>
        <v>4.3449600000000004</v>
      </c>
      <c r="AO143" s="39">
        <f t="shared" si="102"/>
        <v>0.51840016274288447</v>
      </c>
      <c r="AP143" s="37">
        <f t="shared" si="103"/>
        <v>0.58509</v>
      </c>
      <c r="AQ143" s="40">
        <f t="shared" si="104"/>
        <v>6.7499999999999999E-3</v>
      </c>
      <c r="AR143" s="39">
        <f t="shared" si="110"/>
        <v>50.832377782499087</v>
      </c>
      <c r="AS143" s="37">
        <f t="shared" si="111"/>
        <v>291.04000000000002</v>
      </c>
      <c r="AT143" s="40">
        <f t="shared" si="112"/>
        <v>85.131183129735362</v>
      </c>
    </row>
    <row r="144" spans="17:46" x14ac:dyDescent="0.25">
      <c r="Q144">
        <v>137</v>
      </c>
      <c r="R144" s="39">
        <f t="shared" si="88"/>
        <v>53.5</v>
      </c>
      <c r="S144" s="37">
        <f t="shared" si="89"/>
        <v>5.48</v>
      </c>
      <c r="T144" s="37">
        <f t="shared" si="90"/>
        <v>15</v>
      </c>
      <c r="U144" s="40">
        <f t="shared" si="91"/>
        <v>21.717037037037038</v>
      </c>
      <c r="V144" s="39">
        <f t="shared" si="92"/>
        <v>2</v>
      </c>
      <c r="W144" s="37">
        <f t="shared" si="93"/>
        <v>0.71962616822429903</v>
      </c>
      <c r="X144" s="40">
        <f t="shared" si="94"/>
        <v>0.28037383177570097</v>
      </c>
      <c r="Y144" s="39">
        <f t="shared" si="95"/>
        <v>13.629283489096572</v>
      </c>
      <c r="Z144" s="37">
        <f t="shared" ref="Z144:Z157" si="114">CHOOSE(V144,Y144,U144+(0.5*Y144))</f>
        <v>28.531678781585324</v>
      </c>
      <c r="AA144" s="37">
        <f t="shared" ref="AA144:AA157" si="115">CHOOSE(V144,Z144*SQRT((W144+X144)/3),SQRT((U144^2)+((Y144^2)/12)))</f>
        <v>22.070556820574748</v>
      </c>
      <c r="AB144" s="37">
        <v>0</v>
      </c>
      <c r="AC144" s="37">
        <f t="shared" si="96"/>
        <v>0.97421895674043701</v>
      </c>
      <c r="AD144" s="40">
        <f t="shared" si="105"/>
        <v>0.97421895674043701</v>
      </c>
      <c r="AE144" s="39">
        <f t="shared" si="113"/>
        <v>15.628148148148147</v>
      </c>
      <c r="AF144" s="37">
        <f t="shared" si="106"/>
        <v>18.722626082505023</v>
      </c>
      <c r="AG144" s="37">
        <f t="shared" si="97"/>
        <v>0</v>
      </c>
      <c r="AH144" s="37">
        <f t="shared" si="98"/>
        <v>44.74327184204968</v>
      </c>
      <c r="AI144" s="40">
        <f t="shared" si="107"/>
        <v>44.74327184204968</v>
      </c>
      <c r="AJ144" s="39">
        <f t="shared" si="108"/>
        <v>6.0888888888888895</v>
      </c>
      <c r="AK144" s="37">
        <f t="shared" si="99"/>
        <v>11.686434483833001</v>
      </c>
      <c r="AL144" s="37">
        <f t="shared" si="100"/>
        <v>3.1783999999999999</v>
      </c>
      <c r="AM144" s="37">
        <f t="shared" si="101"/>
        <v>1.1897599999999999</v>
      </c>
      <c r="AN144" s="40">
        <f t="shared" si="109"/>
        <v>4.3681599999999996</v>
      </c>
      <c r="AO144" s="39">
        <f t="shared" si="102"/>
        <v>0.52580509113794605</v>
      </c>
      <c r="AP144" s="37">
        <f t="shared" si="103"/>
        <v>0.58509</v>
      </c>
      <c r="AQ144" s="40">
        <f t="shared" si="104"/>
        <v>6.7499999999999999E-3</v>
      </c>
      <c r="AR144" s="39">
        <f t="shared" si="110"/>
        <v>51.203295889928057</v>
      </c>
      <c r="AS144" s="37">
        <f t="shared" si="111"/>
        <v>293.18</v>
      </c>
      <c r="AT144" s="40">
        <f t="shared" si="112"/>
        <v>85.131887492506706</v>
      </c>
    </row>
    <row r="145" spans="17:46" x14ac:dyDescent="0.25">
      <c r="Q145">
        <v>138</v>
      </c>
      <c r="R145" s="39">
        <f t="shared" si="88"/>
        <v>53.5</v>
      </c>
      <c r="S145" s="37">
        <f t="shared" si="89"/>
        <v>5.5200000000000005</v>
      </c>
      <c r="T145" s="37">
        <f t="shared" si="90"/>
        <v>15</v>
      </c>
      <c r="U145" s="40">
        <f t="shared" si="91"/>
        <v>21.875555555555561</v>
      </c>
      <c r="V145" s="39">
        <f t="shared" si="92"/>
        <v>2</v>
      </c>
      <c r="W145" s="37">
        <f t="shared" si="93"/>
        <v>0.71962616822429903</v>
      </c>
      <c r="X145" s="40">
        <f t="shared" si="94"/>
        <v>0.28037383177570097</v>
      </c>
      <c r="Y145" s="39">
        <f t="shared" si="95"/>
        <v>13.629283489096572</v>
      </c>
      <c r="Z145" s="37">
        <f t="shared" si="114"/>
        <v>28.690197300103847</v>
      </c>
      <c r="AA145" s="37">
        <f t="shared" si="115"/>
        <v>22.226554199119075</v>
      </c>
      <c r="AB145" s="37">
        <v>0</v>
      </c>
      <c r="AC145" s="37">
        <f t="shared" si="96"/>
        <v>0.98803942313275561</v>
      </c>
      <c r="AD145" s="40">
        <f t="shared" si="105"/>
        <v>0.98803942313275561</v>
      </c>
      <c r="AE145" s="39">
        <f t="shared" si="113"/>
        <v>15.742222222222225</v>
      </c>
      <c r="AF145" s="37">
        <f t="shared" si="106"/>
        <v>18.854959879612206</v>
      </c>
      <c r="AG145" s="37">
        <f t="shared" si="97"/>
        <v>0</v>
      </c>
      <c r="AH145" s="37">
        <f t="shared" si="98"/>
        <v>45.069865067174135</v>
      </c>
      <c r="AI145" s="40">
        <f t="shared" si="107"/>
        <v>45.069865067174135</v>
      </c>
      <c r="AJ145" s="39">
        <f t="shared" si="108"/>
        <v>6.1333333333333355</v>
      </c>
      <c r="AK145" s="37">
        <f t="shared" si="99"/>
        <v>11.769035623388687</v>
      </c>
      <c r="AL145" s="37">
        <f t="shared" si="100"/>
        <v>3.2016</v>
      </c>
      <c r="AM145" s="37">
        <f t="shared" si="101"/>
        <v>1.1897599999999999</v>
      </c>
      <c r="AN145" s="40">
        <f t="shared" si="109"/>
        <v>4.3913599999999997</v>
      </c>
      <c r="AO145" s="39">
        <f t="shared" si="102"/>
        <v>0.53326426809267891</v>
      </c>
      <c r="AP145" s="37">
        <f t="shared" si="103"/>
        <v>0.58509</v>
      </c>
      <c r="AQ145" s="40">
        <f t="shared" si="104"/>
        <v>6.7499999999999999E-3</v>
      </c>
      <c r="AR145" s="39">
        <f t="shared" si="110"/>
        <v>51.574368758399565</v>
      </c>
      <c r="AS145" s="37">
        <f t="shared" si="111"/>
        <v>295.32000000000005</v>
      </c>
      <c r="AT145" s="40">
        <f t="shared" si="112"/>
        <v>85.132543678067208</v>
      </c>
    </row>
    <row r="146" spans="17:46" x14ac:dyDescent="0.25">
      <c r="Q146">
        <v>139</v>
      </c>
      <c r="R146" s="39">
        <f t="shared" si="88"/>
        <v>53.5</v>
      </c>
      <c r="S146" s="37">
        <f t="shared" si="89"/>
        <v>5.5600000000000005</v>
      </c>
      <c r="T146" s="37">
        <f t="shared" si="90"/>
        <v>15</v>
      </c>
      <c r="U146" s="40">
        <f t="shared" si="91"/>
        <v>22.034074074074077</v>
      </c>
      <c r="V146" s="39">
        <f t="shared" si="92"/>
        <v>2</v>
      </c>
      <c r="W146" s="37">
        <f t="shared" si="93"/>
        <v>0.71962616822429903</v>
      </c>
      <c r="X146" s="40">
        <f t="shared" si="94"/>
        <v>0.28037383177570097</v>
      </c>
      <c r="Y146" s="39">
        <f t="shared" si="95"/>
        <v>13.629283489096572</v>
      </c>
      <c r="Z146" s="37">
        <f t="shared" si="114"/>
        <v>28.848715818622363</v>
      </c>
      <c r="AA146" s="37">
        <f t="shared" si="115"/>
        <v>22.382587004275521</v>
      </c>
      <c r="AB146" s="37">
        <v>0</v>
      </c>
      <c r="AC146" s="37">
        <f t="shared" si="96"/>
        <v>1.0019604020079269</v>
      </c>
      <c r="AD146" s="40">
        <f t="shared" si="105"/>
        <v>1.0019604020079269</v>
      </c>
      <c r="AE146" s="39">
        <f t="shared" si="113"/>
        <v>15.856296296296298</v>
      </c>
      <c r="AF146" s="37">
        <f t="shared" si="106"/>
        <v>18.987323729391704</v>
      </c>
      <c r="AG146" s="37">
        <f t="shared" si="97"/>
        <v>0</v>
      </c>
      <c r="AH146" s="37">
        <f t="shared" si="98"/>
        <v>45.396458292298583</v>
      </c>
      <c r="AI146" s="40">
        <f t="shared" si="107"/>
        <v>45.396458292298583</v>
      </c>
      <c r="AJ146" s="39">
        <f t="shared" si="108"/>
        <v>6.1777777777777789</v>
      </c>
      <c r="AK146" s="37">
        <f t="shared" si="99"/>
        <v>11.851655521455308</v>
      </c>
      <c r="AL146" s="37">
        <f t="shared" si="100"/>
        <v>3.2248000000000001</v>
      </c>
      <c r="AM146" s="37">
        <f t="shared" si="101"/>
        <v>1.1897599999999999</v>
      </c>
      <c r="AN146" s="40">
        <f t="shared" si="109"/>
        <v>4.4145599999999998</v>
      </c>
      <c r="AO146" s="39">
        <f t="shared" si="102"/>
        <v>0.54077769360708194</v>
      </c>
      <c r="AP146" s="37">
        <f t="shared" si="103"/>
        <v>0.58509</v>
      </c>
      <c r="AQ146" s="40">
        <f t="shared" si="104"/>
        <v>6.7499999999999999E-3</v>
      </c>
      <c r="AR146" s="39">
        <f t="shared" si="110"/>
        <v>51.945596387913589</v>
      </c>
      <c r="AS146" s="37">
        <f t="shared" si="111"/>
        <v>297.46000000000004</v>
      </c>
      <c r="AT146" s="40">
        <f t="shared" si="112"/>
        <v>85.13315272425028</v>
      </c>
    </row>
    <row r="147" spans="17:46" x14ac:dyDescent="0.25">
      <c r="Q147">
        <v>140</v>
      </c>
      <c r="R147" s="39">
        <f t="shared" si="88"/>
        <v>53.5</v>
      </c>
      <c r="S147" s="37">
        <f t="shared" si="89"/>
        <v>5.6000000000000005</v>
      </c>
      <c r="T147" s="37">
        <f t="shared" si="90"/>
        <v>15</v>
      </c>
      <c r="U147" s="40">
        <f t="shared" si="91"/>
        <v>22.192592592592593</v>
      </c>
      <c r="V147" s="39">
        <f t="shared" si="92"/>
        <v>2</v>
      </c>
      <c r="W147" s="37">
        <f t="shared" si="93"/>
        <v>0.71962616822429903</v>
      </c>
      <c r="X147" s="40">
        <f t="shared" si="94"/>
        <v>0.28037383177570097</v>
      </c>
      <c r="Y147" s="39">
        <f t="shared" si="95"/>
        <v>13.629283489096572</v>
      </c>
      <c r="Z147" s="37">
        <f t="shared" si="114"/>
        <v>29.007234337140879</v>
      </c>
      <c r="AA147" s="37">
        <f t="shared" si="115"/>
        <v>22.538654500279641</v>
      </c>
      <c r="AB147" s="37">
        <v>0</v>
      </c>
      <c r="AC147" s="37">
        <f t="shared" si="96"/>
        <v>1.0159818933659515</v>
      </c>
      <c r="AD147" s="40">
        <f t="shared" si="105"/>
        <v>1.0159818933659515</v>
      </c>
      <c r="AE147" s="39">
        <f t="shared" si="113"/>
        <v>15.97037037037037</v>
      </c>
      <c r="AF147" s="37">
        <f t="shared" si="106"/>
        <v>19.119717007688788</v>
      </c>
      <c r="AG147" s="37">
        <f t="shared" si="97"/>
        <v>0</v>
      </c>
      <c r="AH147" s="37">
        <f t="shared" si="98"/>
        <v>45.723051517423031</v>
      </c>
      <c r="AI147" s="40">
        <f t="shared" si="107"/>
        <v>45.723051517423031</v>
      </c>
      <c r="AJ147" s="39">
        <f t="shared" si="108"/>
        <v>6.2222222222222232</v>
      </c>
      <c r="AK147" s="37">
        <f t="shared" si="99"/>
        <v>11.934293788443105</v>
      </c>
      <c r="AL147" s="37">
        <f t="shared" si="100"/>
        <v>3.2480000000000002</v>
      </c>
      <c r="AM147" s="37">
        <f t="shared" si="101"/>
        <v>1.1897599999999999</v>
      </c>
      <c r="AN147" s="40">
        <f t="shared" si="109"/>
        <v>4.4377599999999999</v>
      </c>
      <c r="AO147" s="39">
        <f t="shared" si="102"/>
        <v>0.54834536768115583</v>
      </c>
      <c r="AP147" s="37">
        <f t="shared" si="103"/>
        <v>0.58509</v>
      </c>
      <c r="AQ147" s="40">
        <f t="shared" si="104"/>
        <v>6.7499999999999999E-3</v>
      </c>
      <c r="AR147" s="39">
        <f t="shared" si="110"/>
        <v>52.316978778470137</v>
      </c>
      <c r="AS147" s="37">
        <f t="shared" si="111"/>
        <v>299.60000000000002</v>
      </c>
      <c r="AT147" s="40">
        <f t="shared" si="112"/>
        <v>85.133715639391355</v>
      </c>
    </row>
    <row r="148" spans="17:46" x14ac:dyDescent="0.25">
      <c r="Q148">
        <v>141</v>
      </c>
      <c r="R148" s="39">
        <f t="shared" si="88"/>
        <v>53.5</v>
      </c>
      <c r="S148" s="37">
        <f t="shared" si="89"/>
        <v>5.64</v>
      </c>
      <c r="T148" s="37">
        <f t="shared" si="90"/>
        <v>15</v>
      </c>
      <c r="U148" s="40">
        <f t="shared" si="91"/>
        <v>22.351111111111113</v>
      </c>
      <c r="V148" s="39">
        <f t="shared" si="92"/>
        <v>2</v>
      </c>
      <c r="W148" s="37">
        <f t="shared" si="93"/>
        <v>0.71962616822429903</v>
      </c>
      <c r="X148" s="40">
        <f t="shared" si="94"/>
        <v>0.28037383177570097</v>
      </c>
      <c r="Y148" s="39">
        <f t="shared" si="95"/>
        <v>13.629283489096572</v>
      </c>
      <c r="Z148" s="37">
        <f t="shared" si="114"/>
        <v>29.165752855659399</v>
      </c>
      <c r="AA148" s="37">
        <f t="shared" si="115"/>
        <v>22.694755971444476</v>
      </c>
      <c r="AB148" s="37">
        <v>0</v>
      </c>
      <c r="AC148" s="37">
        <f t="shared" si="96"/>
        <v>1.0301038972068293</v>
      </c>
      <c r="AD148" s="40">
        <f t="shared" si="105"/>
        <v>1.0301038972068293</v>
      </c>
      <c r="AE148" s="39">
        <f t="shared" si="113"/>
        <v>16.084444444444443</v>
      </c>
      <c r="AF148" s="37">
        <f t="shared" si="106"/>
        <v>19.252139107380614</v>
      </c>
      <c r="AG148" s="37">
        <f t="shared" si="97"/>
        <v>0</v>
      </c>
      <c r="AH148" s="37">
        <f t="shared" si="98"/>
        <v>46.049644742547471</v>
      </c>
      <c r="AI148" s="40">
        <f t="shared" si="107"/>
        <v>46.049644742547471</v>
      </c>
      <c r="AJ148" s="39">
        <f t="shared" si="108"/>
        <v>6.2666666666666675</v>
      </c>
      <c r="AK148" s="37">
        <f t="shared" si="99"/>
        <v>12.016950045393415</v>
      </c>
      <c r="AL148" s="37">
        <f t="shared" si="100"/>
        <v>3.2711999999999994</v>
      </c>
      <c r="AM148" s="37">
        <f t="shared" si="101"/>
        <v>1.1897599999999999</v>
      </c>
      <c r="AN148" s="40">
        <f t="shared" si="109"/>
        <v>4.4609599999999991</v>
      </c>
      <c r="AO148" s="39">
        <f t="shared" si="102"/>
        <v>0.55596729031490111</v>
      </c>
      <c r="AP148" s="37">
        <f t="shared" si="103"/>
        <v>0.58509</v>
      </c>
      <c r="AQ148" s="40">
        <f t="shared" si="104"/>
        <v>6.7499999999999999E-3</v>
      </c>
      <c r="AR148" s="39">
        <f t="shared" si="110"/>
        <v>52.688515930069194</v>
      </c>
      <c r="AS148" s="37">
        <f t="shared" si="111"/>
        <v>301.74</v>
      </c>
      <c r="AT148" s="40">
        <f t="shared" si="112"/>
        <v>85.134233403368441</v>
      </c>
    </row>
    <row r="149" spans="17:46" x14ac:dyDescent="0.25">
      <c r="Q149">
        <v>142</v>
      </c>
      <c r="R149" s="39">
        <f t="shared" si="88"/>
        <v>53.5</v>
      </c>
      <c r="S149" s="37">
        <f t="shared" si="89"/>
        <v>5.68</v>
      </c>
      <c r="T149" s="37">
        <f t="shared" si="90"/>
        <v>15</v>
      </c>
      <c r="U149" s="40">
        <f t="shared" si="91"/>
        <v>22.509629629629629</v>
      </c>
      <c r="V149" s="39">
        <f t="shared" si="92"/>
        <v>2</v>
      </c>
      <c r="W149" s="37">
        <f t="shared" si="93"/>
        <v>0.71962616822429903</v>
      </c>
      <c r="X149" s="40">
        <f t="shared" si="94"/>
        <v>0.28037383177570097</v>
      </c>
      <c r="Y149" s="39">
        <f t="shared" si="95"/>
        <v>13.629283489096572</v>
      </c>
      <c r="Z149" s="37">
        <f t="shared" si="114"/>
        <v>29.324271374177915</v>
      </c>
      <c r="AA149" s="37">
        <f t="shared" si="115"/>
        <v>22.850890721485676</v>
      </c>
      <c r="AB149" s="37">
        <v>0</v>
      </c>
      <c r="AC149" s="37">
        <f t="shared" si="96"/>
        <v>1.0443264135305603</v>
      </c>
      <c r="AD149" s="40">
        <f t="shared" si="105"/>
        <v>1.0443264135305603</v>
      </c>
      <c r="AE149" s="39">
        <f t="shared" si="113"/>
        <v>16.198518518518519</v>
      </c>
      <c r="AF149" s="37">
        <f t="shared" si="106"/>
        <v>19.384589437803704</v>
      </c>
      <c r="AG149" s="37">
        <f t="shared" si="97"/>
        <v>0</v>
      </c>
      <c r="AH149" s="37">
        <f t="shared" si="98"/>
        <v>46.376237967671926</v>
      </c>
      <c r="AI149" s="40">
        <f t="shared" si="107"/>
        <v>46.376237967671926</v>
      </c>
      <c r="AJ149" s="39">
        <f t="shared" si="108"/>
        <v>6.3111111111111118</v>
      </c>
      <c r="AK149" s="37">
        <f t="shared" si="99"/>
        <v>12.099623923621314</v>
      </c>
      <c r="AL149" s="37">
        <f t="shared" si="100"/>
        <v>3.2943999999999996</v>
      </c>
      <c r="AM149" s="37">
        <f t="shared" si="101"/>
        <v>1.1897599999999999</v>
      </c>
      <c r="AN149" s="40">
        <f t="shared" si="109"/>
        <v>4.4841599999999993</v>
      </c>
      <c r="AO149" s="39">
        <f t="shared" si="102"/>
        <v>0.56364346150831646</v>
      </c>
      <c r="AP149" s="37">
        <f t="shared" si="103"/>
        <v>0.58509</v>
      </c>
      <c r="AQ149" s="40">
        <f t="shared" si="104"/>
        <v>6.7499999999999999E-3</v>
      </c>
      <c r="AR149" s="39">
        <f t="shared" si="110"/>
        <v>53.060207842710803</v>
      </c>
      <c r="AS149" s="37">
        <f t="shared" si="111"/>
        <v>303.88</v>
      </c>
      <c r="AT149" s="40">
        <f t="shared" si="112"/>
        <v>85.134706968598977</v>
      </c>
    </row>
    <row r="150" spans="17:46" x14ac:dyDescent="0.25">
      <c r="Q150">
        <v>143</v>
      </c>
      <c r="R150" s="39">
        <f t="shared" si="88"/>
        <v>53.5</v>
      </c>
      <c r="S150" s="37">
        <f t="shared" si="89"/>
        <v>5.72</v>
      </c>
      <c r="T150" s="37">
        <f t="shared" si="90"/>
        <v>15</v>
      </c>
      <c r="U150" s="40">
        <f t="shared" si="91"/>
        <v>22.668148148148148</v>
      </c>
      <c r="V150" s="39">
        <f t="shared" si="92"/>
        <v>2</v>
      </c>
      <c r="W150" s="37">
        <f t="shared" si="93"/>
        <v>0.71962616822429903</v>
      </c>
      <c r="X150" s="40">
        <f t="shared" si="94"/>
        <v>0.28037383177570097</v>
      </c>
      <c r="Y150" s="39">
        <f t="shared" si="95"/>
        <v>13.629283489096572</v>
      </c>
      <c r="Z150" s="37">
        <f t="shared" si="114"/>
        <v>29.482789892696434</v>
      </c>
      <c r="AA150" s="37">
        <f t="shared" si="115"/>
        <v>23.007058072873473</v>
      </c>
      <c r="AB150" s="37">
        <v>0</v>
      </c>
      <c r="AC150" s="37">
        <f t="shared" si="96"/>
        <v>1.0586494423371449</v>
      </c>
      <c r="AD150" s="40">
        <f t="shared" si="105"/>
        <v>1.0586494423371449</v>
      </c>
      <c r="AE150" s="39">
        <f t="shared" si="113"/>
        <v>16.312592592592591</v>
      </c>
      <c r="AF150" s="37">
        <f t="shared" si="106"/>
        <v>19.517067424204264</v>
      </c>
      <c r="AG150" s="37">
        <f t="shared" si="97"/>
        <v>0</v>
      </c>
      <c r="AH150" s="37">
        <f t="shared" si="98"/>
        <v>46.702831192796381</v>
      </c>
      <c r="AI150" s="40">
        <f t="shared" si="107"/>
        <v>46.702831192796381</v>
      </c>
      <c r="AJ150" s="39">
        <f t="shared" si="108"/>
        <v>6.3555555555555561</v>
      </c>
      <c r="AK150" s="37">
        <f t="shared" si="99"/>
        <v>12.182315064372498</v>
      </c>
      <c r="AL150" s="37">
        <f t="shared" si="100"/>
        <v>3.3175999999999997</v>
      </c>
      <c r="AM150" s="37">
        <f t="shared" si="101"/>
        <v>1.1897599999999999</v>
      </c>
      <c r="AN150" s="40">
        <f t="shared" si="109"/>
        <v>4.5073599999999994</v>
      </c>
      <c r="AO150" s="39">
        <f t="shared" si="102"/>
        <v>0.57137388126140287</v>
      </c>
      <c r="AP150" s="37">
        <f t="shared" si="103"/>
        <v>0.58509</v>
      </c>
      <c r="AQ150" s="40">
        <f t="shared" si="104"/>
        <v>6.7499999999999999E-3</v>
      </c>
      <c r="AR150" s="39">
        <f t="shared" si="110"/>
        <v>53.432054516394921</v>
      </c>
      <c r="AS150" s="37">
        <f t="shared" si="111"/>
        <v>306.02</v>
      </c>
      <c r="AT150" s="40">
        <f t="shared" si="112"/>
        <v>85.135137260995165</v>
      </c>
    </row>
    <row r="151" spans="17:46" x14ac:dyDescent="0.25">
      <c r="Q151">
        <v>144</v>
      </c>
      <c r="R151" s="39">
        <f t="shared" si="88"/>
        <v>53.5</v>
      </c>
      <c r="S151" s="37">
        <f t="shared" si="89"/>
        <v>5.76</v>
      </c>
      <c r="T151" s="37">
        <f t="shared" si="90"/>
        <v>15</v>
      </c>
      <c r="U151" s="40">
        <f t="shared" si="91"/>
        <v>22.826666666666664</v>
      </c>
      <c r="V151" s="39">
        <f t="shared" si="92"/>
        <v>2</v>
      </c>
      <c r="W151" s="37">
        <f t="shared" si="93"/>
        <v>0.71962616822429903</v>
      </c>
      <c r="X151" s="40">
        <f t="shared" si="94"/>
        <v>0.28037383177570097</v>
      </c>
      <c r="Y151" s="39">
        <f t="shared" si="95"/>
        <v>13.629283489096572</v>
      </c>
      <c r="Z151" s="37">
        <f t="shared" si="114"/>
        <v>29.641308411214951</v>
      </c>
      <c r="AA151" s="37">
        <f t="shared" si="115"/>
        <v>23.1632573662102</v>
      </c>
      <c r="AB151" s="37">
        <v>0</v>
      </c>
      <c r="AC151" s="37">
        <f t="shared" si="96"/>
        <v>1.073072983626582</v>
      </c>
      <c r="AD151" s="40">
        <f t="shared" si="105"/>
        <v>1.073072983626582</v>
      </c>
      <c r="AE151" s="39">
        <f t="shared" si="113"/>
        <v>16.426666666666666</v>
      </c>
      <c r="AF151" s="37">
        <f t="shared" si="106"/>
        <v>19.649572507210092</v>
      </c>
      <c r="AG151" s="37">
        <f t="shared" si="97"/>
        <v>0</v>
      </c>
      <c r="AH151" s="37">
        <f t="shared" si="98"/>
        <v>47.029424417920815</v>
      </c>
      <c r="AI151" s="40">
        <f t="shared" si="107"/>
        <v>47.029424417920815</v>
      </c>
      <c r="AJ151" s="39">
        <f t="shared" si="108"/>
        <v>6.4</v>
      </c>
      <c r="AK151" s="37">
        <f t="shared" si="99"/>
        <v>12.26502311849368</v>
      </c>
      <c r="AL151" s="37">
        <f t="shared" si="100"/>
        <v>3.3407999999999998</v>
      </c>
      <c r="AM151" s="37">
        <f t="shared" si="101"/>
        <v>1.1897599999999999</v>
      </c>
      <c r="AN151" s="40">
        <f t="shared" si="109"/>
        <v>4.5305599999999995</v>
      </c>
      <c r="AO151" s="39">
        <f t="shared" si="102"/>
        <v>0.57915854957416002</v>
      </c>
      <c r="AP151" s="37">
        <f t="shared" si="103"/>
        <v>0.58509</v>
      </c>
      <c r="AQ151" s="40">
        <f t="shared" si="104"/>
        <v>6.7499999999999999E-3</v>
      </c>
      <c r="AR151" s="39">
        <f t="shared" si="110"/>
        <v>53.804055951121555</v>
      </c>
      <c r="AS151" s="37">
        <f t="shared" si="111"/>
        <v>308.15999999999997</v>
      </c>
      <c r="AT151" s="40">
        <f t="shared" si="112"/>
        <v>85.13552518087954</v>
      </c>
    </row>
    <row r="152" spans="17:46" x14ac:dyDescent="0.25">
      <c r="Q152">
        <v>145</v>
      </c>
      <c r="R152" s="39">
        <f t="shared" si="88"/>
        <v>53.5</v>
      </c>
      <c r="S152" s="37">
        <f t="shared" si="89"/>
        <v>5.8</v>
      </c>
      <c r="T152" s="37">
        <f t="shared" si="90"/>
        <v>15</v>
      </c>
      <c r="U152" s="40">
        <f t="shared" si="91"/>
        <v>22.985185185185188</v>
      </c>
      <c r="V152" s="39">
        <f t="shared" si="92"/>
        <v>2</v>
      </c>
      <c r="W152" s="37">
        <f t="shared" si="93"/>
        <v>0.71962616822429903</v>
      </c>
      <c r="X152" s="40">
        <f t="shared" si="94"/>
        <v>0.28037383177570097</v>
      </c>
      <c r="Y152" s="39">
        <f t="shared" si="95"/>
        <v>13.629283489096572</v>
      </c>
      <c r="Z152" s="37">
        <f t="shared" si="114"/>
        <v>29.799826929733474</v>
      </c>
      <c r="AA152" s="37">
        <f t="shared" si="115"/>
        <v>23.319487959632319</v>
      </c>
      <c r="AB152" s="37">
        <v>0</v>
      </c>
      <c r="AC152" s="37">
        <f t="shared" si="96"/>
        <v>1.0875970373988735</v>
      </c>
      <c r="AD152" s="40">
        <f t="shared" si="105"/>
        <v>1.0875970373988735</v>
      </c>
      <c r="AE152" s="39">
        <f t="shared" si="113"/>
        <v>16.540740740740741</v>
      </c>
      <c r="AF152" s="37">
        <f t="shared" si="106"/>
        <v>19.782104142323316</v>
      </c>
      <c r="AG152" s="37">
        <f t="shared" si="97"/>
        <v>0</v>
      </c>
      <c r="AH152" s="37">
        <f t="shared" si="98"/>
        <v>47.356017643045284</v>
      </c>
      <c r="AI152" s="40">
        <f t="shared" si="107"/>
        <v>47.356017643045284</v>
      </c>
      <c r="AJ152" s="39">
        <f t="shared" si="108"/>
        <v>6.4444444444444455</v>
      </c>
      <c r="AK152" s="37">
        <f t="shared" si="99"/>
        <v>12.347747746115935</v>
      </c>
      <c r="AL152" s="37">
        <f t="shared" si="100"/>
        <v>3.3639999999999999</v>
      </c>
      <c r="AM152" s="37">
        <f t="shared" si="101"/>
        <v>1.1897599999999999</v>
      </c>
      <c r="AN152" s="40">
        <f t="shared" si="109"/>
        <v>4.5537599999999996</v>
      </c>
      <c r="AO152" s="39">
        <f t="shared" si="102"/>
        <v>0.5869974664465879</v>
      </c>
      <c r="AP152" s="37">
        <f t="shared" si="103"/>
        <v>0.58509</v>
      </c>
      <c r="AQ152" s="40">
        <f t="shared" si="104"/>
        <v>6.7499999999999999E-3</v>
      </c>
      <c r="AR152" s="39">
        <f t="shared" si="110"/>
        <v>54.176212146890741</v>
      </c>
      <c r="AS152" s="37">
        <f t="shared" si="111"/>
        <v>310.3</v>
      </c>
      <c r="AT152" s="40">
        <f t="shared" si="112"/>
        <v>85.135871603862938</v>
      </c>
    </row>
    <row r="153" spans="17:46" x14ac:dyDescent="0.25">
      <c r="Q153">
        <v>146</v>
      </c>
      <c r="R153" s="39">
        <f t="shared" si="88"/>
        <v>53.5</v>
      </c>
      <c r="S153" s="37">
        <f t="shared" si="89"/>
        <v>5.84</v>
      </c>
      <c r="T153" s="37">
        <f t="shared" si="90"/>
        <v>15</v>
      </c>
      <c r="U153" s="40">
        <f t="shared" si="91"/>
        <v>23.143703703703704</v>
      </c>
      <c r="V153" s="39">
        <f t="shared" si="92"/>
        <v>2</v>
      </c>
      <c r="W153" s="37">
        <f t="shared" si="93"/>
        <v>0.71962616822429903</v>
      </c>
      <c r="X153" s="40">
        <f t="shared" si="94"/>
        <v>0.28037383177570097</v>
      </c>
      <c r="Y153" s="39">
        <f t="shared" si="95"/>
        <v>13.629283489096572</v>
      </c>
      <c r="Z153" s="37">
        <f t="shared" si="114"/>
        <v>29.95834544825199</v>
      </c>
      <c r="AA153" s="37">
        <f t="shared" si="115"/>
        <v>23.475749228235689</v>
      </c>
      <c r="AB153" s="37">
        <v>0</v>
      </c>
      <c r="AC153" s="37">
        <f t="shared" si="96"/>
        <v>1.1022216036540171</v>
      </c>
      <c r="AD153" s="40">
        <f t="shared" si="105"/>
        <v>1.1022216036540171</v>
      </c>
      <c r="AE153" s="39">
        <f t="shared" si="113"/>
        <v>16.654814814814813</v>
      </c>
      <c r="AF153" s="37">
        <f t="shared" si="106"/>
        <v>19.914661799432878</v>
      </c>
      <c r="AG153" s="37">
        <f t="shared" si="97"/>
        <v>0</v>
      </c>
      <c r="AH153" s="37">
        <f t="shared" si="98"/>
        <v>47.682610868169732</v>
      </c>
      <c r="AI153" s="40">
        <f t="shared" si="107"/>
        <v>47.682610868169732</v>
      </c>
      <c r="AJ153" s="39">
        <f t="shared" si="108"/>
        <v>6.4888888888888898</v>
      </c>
      <c r="AK153" s="37">
        <f t="shared" si="99"/>
        <v>12.430488616350418</v>
      </c>
      <c r="AL153" s="37">
        <f t="shared" si="100"/>
        <v>3.3871999999999995</v>
      </c>
      <c r="AM153" s="37">
        <f t="shared" si="101"/>
        <v>1.1897599999999999</v>
      </c>
      <c r="AN153" s="40">
        <f t="shared" si="109"/>
        <v>4.5769599999999997</v>
      </c>
      <c r="AO153" s="39">
        <f t="shared" si="102"/>
        <v>0.59489063187868674</v>
      </c>
      <c r="AP153" s="37">
        <f t="shared" si="103"/>
        <v>0.58509</v>
      </c>
      <c r="AQ153" s="40">
        <f t="shared" si="104"/>
        <v>6.7499999999999999E-3</v>
      </c>
      <c r="AR153" s="39">
        <f t="shared" si="110"/>
        <v>54.548523103702429</v>
      </c>
      <c r="AS153" s="37">
        <f t="shared" si="111"/>
        <v>312.44</v>
      </c>
      <c r="AT153" s="40">
        <f t="shared" si="112"/>
        <v>85.136177381686593</v>
      </c>
    </row>
    <row r="154" spans="17:46" x14ac:dyDescent="0.25">
      <c r="Q154">
        <v>147</v>
      </c>
      <c r="R154" s="39">
        <f t="shared" si="88"/>
        <v>53.5</v>
      </c>
      <c r="S154" s="37">
        <f t="shared" si="89"/>
        <v>5.88</v>
      </c>
      <c r="T154" s="37">
        <f t="shared" si="90"/>
        <v>15</v>
      </c>
      <c r="U154" s="40">
        <f t="shared" si="91"/>
        <v>23.30222222222222</v>
      </c>
      <c r="V154" s="39">
        <f t="shared" si="92"/>
        <v>2</v>
      </c>
      <c r="W154" s="37">
        <f t="shared" si="93"/>
        <v>0.71962616822429903</v>
      </c>
      <c r="X154" s="40">
        <f t="shared" si="94"/>
        <v>0.28037383177570097</v>
      </c>
      <c r="Y154" s="39">
        <f t="shared" si="95"/>
        <v>13.629283489096572</v>
      </c>
      <c r="Z154" s="37">
        <f t="shared" si="114"/>
        <v>30.116863966770506</v>
      </c>
      <c r="AA154" s="37">
        <f t="shared" si="115"/>
        <v>23.632040563523226</v>
      </c>
      <c r="AB154" s="37">
        <v>0</v>
      </c>
      <c r="AC154" s="37">
        <f t="shared" si="96"/>
        <v>1.1169466823920142</v>
      </c>
      <c r="AD154" s="40">
        <f t="shared" si="105"/>
        <v>1.1169466823920142</v>
      </c>
      <c r="AE154" s="39">
        <f t="shared" si="113"/>
        <v>16.768888888888885</v>
      </c>
      <c r="AF154" s="37">
        <f t="shared" si="106"/>
        <v>20.047244962345928</v>
      </c>
      <c r="AG154" s="37">
        <f t="shared" si="97"/>
        <v>0</v>
      </c>
      <c r="AH154" s="37">
        <f t="shared" si="98"/>
        <v>48.009204093294166</v>
      </c>
      <c r="AI154" s="40">
        <f t="shared" si="107"/>
        <v>48.009204093294166</v>
      </c>
      <c r="AJ154" s="39">
        <f t="shared" si="108"/>
        <v>6.5333333333333332</v>
      </c>
      <c r="AK154" s="37">
        <f t="shared" si="99"/>
        <v>12.513245406995859</v>
      </c>
      <c r="AL154" s="37">
        <f t="shared" si="100"/>
        <v>3.4103999999999997</v>
      </c>
      <c r="AM154" s="37">
        <f t="shared" si="101"/>
        <v>1.1897599999999999</v>
      </c>
      <c r="AN154" s="40">
        <f t="shared" si="109"/>
        <v>4.6001599999999998</v>
      </c>
      <c r="AO154" s="39">
        <f t="shared" si="102"/>
        <v>0.60283804587045631</v>
      </c>
      <c r="AP154" s="37">
        <f t="shared" si="103"/>
        <v>0.58509</v>
      </c>
      <c r="AQ154" s="40">
        <f t="shared" si="104"/>
        <v>6.7499999999999999E-3</v>
      </c>
      <c r="AR154" s="39">
        <f t="shared" si="110"/>
        <v>54.920988821556634</v>
      </c>
      <c r="AS154" s="37">
        <f t="shared" si="111"/>
        <v>314.58</v>
      </c>
      <c r="AT154" s="40">
        <f t="shared" si="112"/>
        <v>85.136443343029939</v>
      </c>
    </row>
    <row r="155" spans="17:46" x14ac:dyDescent="0.25">
      <c r="Q155">
        <v>148</v>
      </c>
      <c r="R155" s="39">
        <f t="shared" si="88"/>
        <v>53.5</v>
      </c>
      <c r="S155" s="37">
        <f t="shared" si="89"/>
        <v>5.92</v>
      </c>
      <c r="T155" s="37">
        <f t="shared" si="90"/>
        <v>15</v>
      </c>
      <c r="U155" s="40">
        <f t="shared" si="91"/>
        <v>23.460740740740739</v>
      </c>
      <c r="V155" s="39">
        <f t="shared" si="92"/>
        <v>2</v>
      </c>
      <c r="W155" s="37">
        <f t="shared" si="93"/>
        <v>0.71962616822429903</v>
      </c>
      <c r="X155" s="40">
        <f t="shared" si="94"/>
        <v>0.28037383177570097</v>
      </c>
      <c r="Y155" s="39">
        <f t="shared" si="95"/>
        <v>13.629283489096572</v>
      </c>
      <c r="Z155" s="37">
        <f t="shared" si="114"/>
        <v>30.275382485289025</v>
      </c>
      <c r="AA155" s="37">
        <f t="shared" si="115"/>
        <v>23.788361372873762</v>
      </c>
      <c r="AB155" s="37">
        <v>0</v>
      </c>
      <c r="AC155" s="37">
        <f t="shared" si="96"/>
        <v>1.1317722736128648</v>
      </c>
      <c r="AD155" s="40">
        <f t="shared" si="105"/>
        <v>1.1317722736128648</v>
      </c>
      <c r="AE155" s="39">
        <f t="shared" si="113"/>
        <v>16.88296296296296</v>
      </c>
      <c r="AF155" s="37">
        <f t="shared" si="106"/>
        <v>20.179853128337292</v>
      </c>
      <c r="AG155" s="37">
        <f t="shared" si="97"/>
        <v>0</v>
      </c>
      <c r="AH155" s="37">
        <f t="shared" si="98"/>
        <v>48.335797318418621</v>
      </c>
      <c r="AI155" s="40">
        <f t="shared" si="107"/>
        <v>48.335797318418621</v>
      </c>
      <c r="AJ155" s="39">
        <f t="shared" si="108"/>
        <v>6.5777777777777784</v>
      </c>
      <c r="AK155" s="37">
        <f t="shared" si="99"/>
        <v>12.596017804257343</v>
      </c>
      <c r="AL155" s="37">
        <f t="shared" si="100"/>
        <v>3.4335999999999998</v>
      </c>
      <c r="AM155" s="37">
        <f t="shared" si="101"/>
        <v>1.1897599999999999</v>
      </c>
      <c r="AN155" s="40">
        <f t="shared" si="109"/>
        <v>4.6233599999999999</v>
      </c>
      <c r="AO155" s="39">
        <f t="shared" si="102"/>
        <v>0.61083970842189661</v>
      </c>
      <c r="AP155" s="37">
        <f t="shared" si="103"/>
        <v>0.58509</v>
      </c>
      <c r="AQ155" s="40">
        <f t="shared" si="104"/>
        <v>6.7499999999999999E-3</v>
      </c>
      <c r="AR155" s="39">
        <f t="shared" si="110"/>
        <v>55.293609300453383</v>
      </c>
      <c r="AS155" s="37">
        <f t="shared" si="111"/>
        <v>316.71999999999997</v>
      </c>
      <c r="AT155" s="40">
        <f t="shared" si="112"/>
        <v>85.136670294285921</v>
      </c>
    </row>
    <row r="156" spans="17:46" x14ac:dyDescent="0.25">
      <c r="Q156">
        <v>149</v>
      </c>
      <c r="R156" s="39">
        <f t="shared" si="88"/>
        <v>53.5</v>
      </c>
      <c r="S156" s="37">
        <f t="shared" si="89"/>
        <v>5.96</v>
      </c>
      <c r="T156" s="37">
        <f t="shared" si="90"/>
        <v>15</v>
      </c>
      <c r="U156" s="40">
        <f t="shared" si="91"/>
        <v>23.619259259259259</v>
      </c>
      <c r="V156" s="39">
        <f t="shared" si="92"/>
        <v>2</v>
      </c>
      <c r="W156" s="37">
        <f t="shared" si="93"/>
        <v>0.71962616822429903</v>
      </c>
      <c r="X156" s="40">
        <f t="shared" si="94"/>
        <v>0.28037383177570097</v>
      </c>
      <c r="Y156" s="39">
        <f t="shared" si="95"/>
        <v>13.629283489096572</v>
      </c>
      <c r="Z156" s="37">
        <f t="shared" si="114"/>
        <v>30.433901003807545</v>
      </c>
      <c r="AA156" s="37">
        <f t="shared" si="115"/>
        <v>23.9447110790313</v>
      </c>
      <c r="AB156" s="37">
        <v>0</v>
      </c>
      <c r="AC156" s="37">
        <f t="shared" si="96"/>
        <v>1.1466983773165687</v>
      </c>
      <c r="AD156" s="40">
        <f t="shared" si="105"/>
        <v>1.1466983773165687</v>
      </c>
      <c r="AE156" s="39">
        <f t="shared" si="113"/>
        <v>16.997037037037035</v>
      </c>
      <c r="AF156" s="37">
        <f t="shared" si="106"/>
        <v>20.312485807716197</v>
      </c>
      <c r="AG156" s="37">
        <f t="shared" si="97"/>
        <v>0</v>
      </c>
      <c r="AH156" s="37">
        <f t="shared" si="98"/>
        <v>48.662390543543083</v>
      </c>
      <c r="AI156" s="40">
        <f t="shared" si="107"/>
        <v>48.662390543543083</v>
      </c>
      <c r="AJ156" s="39">
        <f t="shared" si="108"/>
        <v>6.6222222222222227</v>
      </c>
      <c r="AK156" s="37">
        <f t="shared" si="99"/>
        <v>12.678805502475873</v>
      </c>
      <c r="AL156" s="37">
        <f t="shared" si="100"/>
        <v>3.4567999999999999</v>
      </c>
      <c r="AM156" s="37">
        <f t="shared" si="101"/>
        <v>1.1897599999999999</v>
      </c>
      <c r="AN156" s="40">
        <f t="shared" si="109"/>
        <v>4.64656</v>
      </c>
      <c r="AO156" s="39">
        <f t="shared" si="102"/>
        <v>0.61889561953300787</v>
      </c>
      <c r="AP156" s="37">
        <f t="shared" si="103"/>
        <v>0.58509</v>
      </c>
      <c r="AQ156" s="40">
        <f t="shared" si="104"/>
        <v>6.7499999999999999E-3</v>
      </c>
      <c r="AR156" s="39">
        <f t="shared" si="110"/>
        <v>55.666384540392656</v>
      </c>
      <c r="AS156" s="37">
        <f t="shared" si="111"/>
        <v>318.86</v>
      </c>
      <c r="AT156" s="40">
        <f t="shared" si="112"/>
        <v>85.136859020305138</v>
      </c>
    </row>
    <row r="157" spans="17:46" ht="15.75" thickBot="1" x14ac:dyDescent="0.3">
      <c r="Q157">
        <v>150</v>
      </c>
      <c r="R157" s="41">
        <f t="shared" si="88"/>
        <v>53.5</v>
      </c>
      <c r="S157" s="42">
        <f t="shared" si="89"/>
        <v>6</v>
      </c>
      <c r="T157" s="42">
        <f t="shared" si="90"/>
        <v>15</v>
      </c>
      <c r="U157" s="43">
        <f t="shared" si="91"/>
        <v>23.777777777777779</v>
      </c>
      <c r="V157" s="41">
        <f t="shared" si="92"/>
        <v>2</v>
      </c>
      <c r="W157" s="42">
        <f t="shared" si="93"/>
        <v>0.71962616822429903</v>
      </c>
      <c r="X157" s="43">
        <f t="shared" si="94"/>
        <v>0.28037383177570097</v>
      </c>
      <c r="Y157" s="41">
        <f t="shared" si="95"/>
        <v>13.629283489096572</v>
      </c>
      <c r="Z157" s="42">
        <f t="shared" si="114"/>
        <v>30.592419522326065</v>
      </c>
      <c r="AA157" s="42">
        <f t="shared" si="115"/>
        <v>24.101089119613722</v>
      </c>
      <c r="AB157" s="42">
        <v>0</v>
      </c>
      <c r="AC157" s="42">
        <f t="shared" si="96"/>
        <v>1.161724993503126</v>
      </c>
      <c r="AD157" s="43">
        <f t="shared" si="105"/>
        <v>1.161724993503126</v>
      </c>
      <c r="AE157" s="41">
        <f t="shared" si="113"/>
        <v>17.111111111111111</v>
      </c>
      <c r="AF157" s="37">
        <f t="shared" si="106"/>
        <v>20.44514252340948</v>
      </c>
      <c r="AG157" s="42">
        <f t="shared" si="97"/>
        <v>0</v>
      </c>
      <c r="AH157" s="42">
        <f t="shared" si="98"/>
        <v>48.988983768667524</v>
      </c>
      <c r="AI157" s="43">
        <f t="shared" si="107"/>
        <v>48.988983768667524</v>
      </c>
      <c r="AJ157" s="41">
        <f>X157*U157</f>
        <v>6.6666666666666679</v>
      </c>
      <c r="AK157" s="42">
        <f t="shared" si="99"/>
        <v>12.761608203868208</v>
      </c>
      <c r="AL157" s="42">
        <f t="shared" si="100"/>
        <v>3.4799999999999995</v>
      </c>
      <c r="AM157" s="42">
        <f t="shared" si="101"/>
        <v>1.1897599999999999</v>
      </c>
      <c r="AN157" s="43">
        <f t="shared" si="109"/>
        <v>4.6697599999999992</v>
      </c>
      <c r="AO157" s="41">
        <f t="shared" si="102"/>
        <v>0.62700577920378986</v>
      </c>
      <c r="AP157" s="42">
        <f t="shared" si="103"/>
        <v>0.58509</v>
      </c>
      <c r="AQ157" s="43">
        <f t="shared" si="104"/>
        <v>6.7499999999999999E-3</v>
      </c>
      <c r="AR157" s="41">
        <f t="shared" si="110"/>
        <v>56.039314541374438</v>
      </c>
      <c r="AS157" s="42">
        <f t="shared" si="111"/>
        <v>321</v>
      </c>
      <c r="AT157" s="43">
        <f>(AS157/(AS157+AR157))*100</f>
        <v>85.137010285110478</v>
      </c>
    </row>
  </sheetData>
  <mergeCells count="7">
    <mergeCell ref="AO5:AQ5"/>
    <mergeCell ref="A1:M1"/>
    <mergeCell ref="R5:U5"/>
    <mergeCell ref="V5:X5"/>
    <mergeCell ref="Y5:AD5"/>
    <mergeCell ref="AE5:AI5"/>
    <mergeCell ref="AJ5:AN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Y708"/>
  <sheetViews>
    <sheetView topLeftCell="R1" zoomScale="80" zoomScaleNormal="80" workbookViewId="0">
      <selection activeCell="AY19" sqref="AY19:AY559"/>
    </sheetView>
  </sheetViews>
  <sheetFormatPr baseColWidth="10" defaultColWidth="9.140625" defaultRowHeight="15" x14ac:dyDescent="0.25"/>
  <cols>
    <col min="1" max="1" width="13.140625" style="98" customWidth="1"/>
    <col min="2" max="2" width="25" style="98" customWidth="1"/>
    <col min="3" max="7" width="9.140625" style="98"/>
    <col min="8" max="10" width="8.85546875" style="98"/>
    <col min="11" max="11" width="12" style="98" bestFit="1" customWidth="1"/>
    <col min="12" max="14" width="9.140625" style="98"/>
    <col min="15" max="15" width="16.7109375" style="199" bestFit="1" customWidth="1"/>
    <col min="16" max="16" width="16.7109375" style="98" customWidth="1"/>
    <col min="17" max="25" width="9.140625" style="98"/>
    <col min="26" max="26" width="8.42578125" style="98" customWidth="1"/>
    <col min="27" max="28" width="9.140625" style="98"/>
    <col min="29" max="29" width="8.85546875" style="98"/>
    <col min="30" max="32" width="9.140625" style="98"/>
    <col min="33" max="33" width="10.140625" style="98" customWidth="1"/>
    <col min="34" max="34" width="12" style="98" bestFit="1" customWidth="1"/>
    <col min="35" max="41" width="9.140625" style="98"/>
    <col min="42" max="42" width="8.85546875" style="98"/>
    <col min="43" max="44" width="9.140625" style="98"/>
    <col min="45" max="45" width="8.85546875" style="98" customWidth="1"/>
    <col min="46" max="47" width="9.140625" style="98"/>
    <col min="48" max="48" width="11.85546875" style="98" bestFit="1" customWidth="1"/>
    <col min="49" max="16384" width="9.140625" style="98"/>
  </cols>
  <sheetData>
    <row r="1" spans="1:51" ht="27.75" x14ac:dyDescent="0.4">
      <c r="A1" s="244" t="s">
        <v>15</v>
      </c>
      <c r="B1" s="244"/>
      <c r="C1" s="244"/>
      <c r="D1" s="244"/>
      <c r="E1" s="244"/>
      <c r="F1" s="244"/>
      <c r="G1" s="244"/>
      <c r="H1" s="244"/>
      <c r="I1" s="244"/>
      <c r="J1" s="244"/>
      <c r="K1" s="244"/>
      <c r="L1" s="244"/>
      <c r="M1" s="244"/>
      <c r="N1" s="244" t="s">
        <v>229</v>
      </c>
      <c r="O1" s="244"/>
      <c r="P1" s="244"/>
      <c r="Q1" s="244"/>
      <c r="R1" s="244"/>
      <c r="S1" s="244"/>
      <c r="T1" s="244"/>
      <c r="U1" s="244"/>
      <c r="V1" s="244"/>
      <c r="W1" s="244"/>
      <c r="X1" s="244"/>
    </row>
    <row r="2" spans="1:51" x14ac:dyDescent="0.25">
      <c r="A2" s="158"/>
      <c r="B2" s="158" t="s">
        <v>16</v>
      </c>
      <c r="C2" s="159"/>
      <c r="D2" s="160"/>
      <c r="E2" s="158"/>
      <c r="F2" s="158"/>
      <c r="G2" s="158"/>
      <c r="H2" s="158"/>
      <c r="I2" s="158"/>
      <c r="J2" s="158"/>
      <c r="K2" s="158"/>
      <c r="L2" s="158"/>
      <c r="M2" s="158"/>
      <c r="O2" s="98"/>
    </row>
    <row r="3" spans="1:51" ht="15.75" thickBot="1" x14ac:dyDescent="0.3">
      <c r="A3" s="158"/>
      <c r="B3" s="158" t="s">
        <v>17</v>
      </c>
      <c r="C3" s="161"/>
      <c r="D3" s="160"/>
      <c r="E3" s="158"/>
      <c r="F3" s="162"/>
      <c r="G3" s="163"/>
      <c r="H3" s="163"/>
      <c r="I3" s="163"/>
      <c r="J3" s="163"/>
      <c r="K3" s="164"/>
      <c r="L3" s="158"/>
      <c r="M3" s="158"/>
      <c r="O3" s="98"/>
    </row>
    <row r="4" spans="1:51" ht="15.75" thickBot="1" x14ac:dyDescent="0.3">
      <c r="A4" s="158"/>
      <c r="B4" s="158" t="s">
        <v>18</v>
      </c>
      <c r="C4" s="165"/>
      <c r="D4" s="160"/>
      <c r="E4" s="158"/>
      <c r="F4" s="162"/>
      <c r="G4" s="163"/>
      <c r="H4" s="163"/>
      <c r="I4" s="163"/>
      <c r="J4" s="163"/>
      <c r="K4" s="164"/>
      <c r="L4" s="158"/>
      <c r="M4" s="158"/>
      <c r="N4" s="166"/>
      <c r="O4" s="167"/>
      <c r="P4" s="241" t="s">
        <v>260</v>
      </c>
      <c r="Q4" s="241"/>
      <c r="R4" s="241"/>
      <c r="S4" s="241"/>
      <c r="T4" s="241"/>
      <c r="U4" s="241"/>
      <c r="V4" s="241"/>
      <c r="W4" s="241"/>
      <c r="X4" s="241"/>
      <c r="Y4" s="241"/>
      <c r="Z4" s="241"/>
      <c r="AA4" s="241"/>
      <c r="AB4" s="241"/>
      <c r="AC4" s="241"/>
      <c r="AD4" s="241"/>
      <c r="AE4" s="242"/>
      <c r="AF4" s="240" t="s">
        <v>261</v>
      </c>
      <c r="AG4" s="241"/>
      <c r="AH4" s="241"/>
      <c r="AI4" s="241"/>
      <c r="AJ4" s="241"/>
      <c r="AK4" s="241"/>
      <c r="AL4" s="241"/>
      <c r="AM4" s="241"/>
      <c r="AN4" s="241"/>
      <c r="AO4" s="241"/>
      <c r="AP4" s="241"/>
      <c r="AQ4" s="241"/>
      <c r="AR4" s="242"/>
      <c r="AS4" s="240" t="s">
        <v>272</v>
      </c>
      <c r="AT4" s="241"/>
      <c r="AU4" s="242"/>
    </row>
    <row r="5" spans="1:51" x14ac:dyDescent="0.25">
      <c r="A5" s="158"/>
      <c r="D5" s="160"/>
      <c r="E5" s="158"/>
      <c r="F5" s="158"/>
      <c r="G5" s="158"/>
      <c r="H5" s="158"/>
      <c r="I5" s="158"/>
      <c r="J5" s="158"/>
      <c r="K5" s="158"/>
      <c r="L5" s="158"/>
      <c r="M5" s="158"/>
      <c r="N5" s="168"/>
      <c r="O5" s="169"/>
      <c r="Q5" s="243" t="s">
        <v>252</v>
      </c>
      <c r="R5" s="243"/>
      <c r="S5" s="243"/>
      <c r="T5" s="238" t="s">
        <v>254</v>
      </c>
      <c r="U5" s="238"/>
      <c r="V5" s="238"/>
      <c r="W5" s="238" t="s">
        <v>253</v>
      </c>
      <c r="X5" s="238"/>
      <c r="Y5" s="238"/>
      <c r="Z5" s="238" t="s">
        <v>257</v>
      </c>
      <c r="AA5" s="238"/>
      <c r="AB5" s="238"/>
      <c r="AC5" s="237" t="s">
        <v>259</v>
      </c>
      <c r="AD5" s="238"/>
      <c r="AE5" s="239"/>
      <c r="AG5" s="238" t="s">
        <v>268</v>
      </c>
      <c r="AH5" s="238"/>
      <c r="AI5" s="238"/>
      <c r="AJ5" s="238" t="s">
        <v>269</v>
      </c>
      <c r="AK5" s="238"/>
      <c r="AL5" s="238"/>
      <c r="AM5" s="238" t="s">
        <v>263</v>
      </c>
      <c r="AN5" s="238"/>
      <c r="AO5" s="238"/>
      <c r="AP5" s="237" t="s">
        <v>259</v>
      </c>
      <c r="AQ5" s="238"/>
      <c r="AR5" s="239"/>
      <c r="AS5" s="237" t="s">
        <v>259</v>
      </c>
      <c r="AT5" s="238"/>
      <c r="AU5" s="239"/>
      <c r="AV5" s="223"/>
    </row>
    <row r="6" spans="1:51" ht="15.75" thickBot="1" x14ac:dyDescent="0.3">
      <c r="A6" s="170" t="s">
        <v>19</v>
      </c>
      <c r="B6" s="170" t="s">
        <v>20</v>
      </c>
      <c r="C6" s="170" t="s">
        <v>21</v>
      </c>
      <c r="D6" s="160"/>
      <c r="E6" s="245" t="s">
        <v>22</v>
      </c>
      <c r="F6" s="245"/>
      <c r="G6" s="245"/>
      <c r="H6" s="245"/>
      <c r="I6" s="245"/>
      <c r="J6" s="245"/>
      <c r="K6" s="245"/>
      <c r="L6" s="158"/>
      <c r="M6" s="170"/>
      <c r="N6" s="168"/>
      <c r="O6" s="169"/>
      <c r="P6" s="160" t="s">
        <v>235</v>
      </c>
      <c r="Q6" s="98" t="s">
        <v>258</v>
      </c>
      <c r="R6" s="160" t="s">
        <v>255</v>
      </c>
      <c r="S6" s="160" t="s">
        <v>256</v>
      </c>
      <c r="T6" s="160" t="s">
        <v>258</v>
      </c>
      <c r="U6" s="160" t="s">
        <v>255</v>
      </c>
      <c r="V6" s="160" t="s">
        <v>256</v>
      </c>
      <c r="W6" s="160" t="s">
        <v>258</v>
      </c>
      <c r="X6" s="160" t="s">
        <v>255</v>
      </c>
      <c r="Y6" s="160" t="s">
        <v>256</v>
      </c>
      <c r="Z6" s="160" t="s">
        <v>258</v>
      </c>
      <c r="AA6" s="160" t="s">
        <v>255</v>
      </c>
      <c r="AB6" s="160" t="s">
        <v>256</v>
      </c>
      <c r="AC6" s="171" t="s">
        <v>273</v>
      </c>
      <c r="AD6" s="160" t="s">
        <v>255</v>
      </c>
      <c r="AE6" s="172" t="s">
        <v>256</v>
      </c>
      <c r="AF6" s="160" t="s">
        <v>270</v>
      </c>
      <c r="AG6" s="160" t="s">
        <v>258</v>
      </c>
      <c r="AH6" s="160" t="s">
        <v>271</v>
      </c>
      <c r="AI6" s="160" t="s">
        <v>256</v>
      </c>
      <c r="AJ6" s="160" t="s">
        <v>258</v>
      </c>
      <c r="AK6" s="160" t="s">
        <v>271</v>
      </c>
      <c r="AL6" s="160" t="s">
        <v>256</v>
      </c>
      <c r="AM6" s="160" t="s">
        <v>258</v>
      </c>
      <c r="AN6" s="160" t="s">
        <v>271</v>
      </c>
      <c r="AO6" s="160" t="s">
        <v>256</v>
      </c>
      <c r="AP6" s="171" t="s">
        <v>273</v>
      </c>
      <c r="AQ6" s="160" t="s">
        <v>255</v>
      </c>
      <c r="AR6" s="172" t="s">
        <v>256</v>
      </c>
      <c r="AS6" s="171" t="s">
        <v>273</v>
      </c>
      <c r="AT6" s="160" t="s">
        <v>255</v>
      </c>
      <c r="AU6" s="172" t="s">
        <v>256</v>
      </c>
      <c r="AV6" s="224"/>
    </row>
    <row r="7" spans="1:51" ht="15.75" thickBot="1" x14ac:dyDescent="0.3">
      <c r="A7" s="170"/>
      <c r="B7" s="170"/>
      <c r="C7" s="170"/>
      <c r="D7" s="160"/>
      <c r="E7" s="158"/>
      <c r="F7" s="158"/>
      <c r="G7" s="158"/>
      <c r="H7" s="158"/>
      <c r="I7" s="158"/>
      <c r="J7" s="158"/>
      <c r="K7" s="158"/>
      <c r="L7" s="158"/>
      <c r="M7" s="170"/>
      <c r="N7" s="98" t="s">
        <v>469</v>
      </c>
      <c r="O7" s="167">
        <f>fcross</f>
        <v>33000</v>
      </c>
      <c r="P7" s="173" t="str">
        <f>COMPLEX(ADC_VINmin,0)</f>
        <v>88,6111111111111</v>
      </c>
      <c r="Q7" s="174" t="str">
        <f>IMSUM(COMPLEX(1,0),IMDIV(COMPLEX(0,2*PI()*O7),COMPLEX(wp_lf_VINmin,0)))</f>
        <v>1+184,88272766376i</v>
      </c>
      <c r="R7" s="174">
        <f t="shared" ref="R7:R13" si="0">IMABS(Q7)</f>
        <v>184.8854320610254</v>
      </c>
      <c r="S7" s="174">
        <f t="shared" ref="S7:S13" si="1">IMARGUMENT(Q7)</f>
        <v>1.5653875454502104</v>
      </c>
      <c r="T7" s="174" t="str">
        <f>IMSUM(COMPLEX(1,0),IMDIV(COMPLEX(0,2*PI()*O7),COMPLEX(wz_esr_VINmin,0)))</f>
        <v>1+0,0124407069082155i</v>
      </c>
      <c r="U7" s="174">
        <f t="shared" ref="U7:U13" si="2">IMABS(T7)</f>
        <v>1.0000773826001546</v>
      </c>
      <c r="V7" s="174">
        <f t="shared" ref="V7:V13" si="3">IMARGUMENT(T7)</f>
        <v>1.2440065146812677E-2</v>
      </c>
      <c r="W7" s="175" t="str">
        <f>IMSUB(COMPLEX(1,0),IMDIV(COMPLEX(0,2*PI()*O7),COMPLEX(wz_RHP_VINmin,0)))</f>
        <v>1-0,198023152935729i</v>
      </c>
      <c r="X7" s="174">
        <f t="shared" ref="X7:X13" si="4">IMABS(W7)</f>
        <v>1.0194180541360875</v>
      </c>
      <c r="Y7" s="174">
        <f t="shared" ref="Y7:Y13" si="5">IMARGUMENT(W7)</f>
        <v>-0.19549402476292896</v>
      </c>
      <c r="Z7" s="175" t="str">
        <f t="shared" ref="Z7:Z13" si="6">IF(Dc_Mode_Loop="CCM",IMSUM(COMPLEX(1,0),IMDIV(COMPLEX(0,2*PI()*O7),COMPLEX(Q*(wsl/2),0)),IMDIV(IMPOWER(COMPLEX(0,2*PI()*O7),2),IMPOWER(COMPLEX(wsl/2,0),2))),COMPLEX(1,0))</f>
        <v>0,9991+0,0412484656066958i</v>
      </c>
      <c r="AA7" s="174">
        <f t="shared" ref="AA7:AA13" si="7">IMABS(Z7)</f>
        <v>0.99995112176291234</v>
      </c>
      <c r="AB7" s="174">
        <f t="shared" ref="AB7:AB13" si="8">IMARGUMENT(Z7)</f>
        <v>4.1262189476663054E-2</v>
      </c>
      <c r="AC7" s="176" t="str">
        <f t="shared" ref="AC7:AC13" si="9">(IMDIV(IMPRODUCT(P7,T7,W7),IMPRODUCT(Q7,Z7)))</f>
        <v>-0,106115510742369-0,476982744032573i</v>
      </c>
      <c r="AD7" s="177">
        <f t="shared" ref="AD7:AD13" si="10">20*LOG(IMABS(AC7))</f>
        <v>-6.2201471171218961</v>
      </c>
      <c r="AE7" s="167">
        <f t="shared" ref="AE7:AE13" si="11">(180/PI())*IMARGUMENT(AC7)</f>
        <v>-102.54246827628393</v>
      </c>
      <c r="AF7" s="175" t="str">
        <f t="shared" ref="AF7:AF13" si="12">COMPLEX(Adc_ea,0)</f>
        <v>-0,0000375877424711299</v>
      </c>
      <c r="AG7" s="175" t="str">
        <f t="shared" ref="AG7:AG13" si="13">COMPLEX(0,2*PI()*O7*wp0_ea)</f>
        <v>0,000210040601633706i</v>
      </c>
      <c r="AH7" s="175">
        <f t="shared" ref="AH7:AH13" si="14">IMABS(AG7)</f>
        <v>2.10040601633706E-4</v>
      </c>
      <c r="AI7" s="175">
        <f t="shared" ref="AI7:AI13" si="15">IMARGUMENT(AG7)</f>
        <v>1.5707963267948966</v>
      </c>
      <c r="AJ7" s="175" t="str">
        <f t="shared" ref="AJ7:AJ13" si="16">IMSUM(COMPLEX(1,0),IMDIV(COMPLEX(0,2*PI()*O7),COMPLEX(wp1_ea,0)))</f>
        <v>1+0,191584430175876i</v>
      </c>
      <c r="AK7" s="175">
        <f t="shared" ref="AK7:AK13" si="17">IMABS(AJ7)</f>
        <v>1.0181869150042222</v>
      </c>
      <c r="AL7" s="175">
        <f t="shared" ref="AL7:AL13" si="18">IMARGUMENT(AJ7)</f>
        <v>0.18929072627906546</v>
      </c>
      <c r="AM7" s="175" t="str">
        <f t="shared" ref="AM7:AM13" si="19">IMSUM(COMPLEX(1,0),IMDIV(COMPLEX(0,2*PI()*O7),COMPLEX(wz_ea,0)))</f>
        <v>1+14,9288482898587i</v>
      </c>
      <c r="AN7" s="175">
        <f t="shared" ref="AN7:AN13" si="20">IMABS(AM7)</f>
        <v>14.962303006610211</v>
      </c>
      <c r="AO7" s="175">
        <f t="shared" ref="AO7:AO13" si="21">IMARGUMENT(AM7)</f>
        <v>1.5039118386248593</v>
      </c>
      <c r="AP7" s="166" t="str">
        <f t="shared" ref="AP7:AP13" si="22">IMPRODUCT(AF7,IMDIV(AM7,IMPRODUCT(AG7,AJ7)))</f>
        <v>-2,54392805813685+0,666331657997797i</v>
      </c>
      <c r="AQ7" s="175">
        <f t="shared" ref="AQ7:AQ13" si="23">20*LOG(IMABS(AP7))</f>
        <v>8.3982784621561031</v>
      </c>
      <c r="AR7" s="167">
        <f t="shared" ref="AR7:AR13" si="24">(180/PI())*IMARGUMENT(AP7)</f>
        <v>165.32224139620763</v>
      </c>
      <c r="AS7" s="166" t="str">
        <f t="shared" ref="AS7:AS13" si="25">IMPRODUCT(AC7,AP7)</f>
        <v>0,587778927848598+1,14270166157932i</v>
      </c>
      <c r="AT7" s="177">
        <f t="shared" ref="AT7:AT13" si="26">20*LOG(IMABS(AS7))</f>
        <v>2.1781313450341835</v>
      </c>
      <c r="AU7" s="167">
        <f t="shared" ref="AU7:AU13" si="27">(180/PI())*IMARGUMENT(AS7)</f>
        <v>62.779773119923625</v>
      </c>
      <c r="AV7" s="225"/>
    </row>
    <row r="8" spans="1:51" ht="15.75" thickBot="1" x14ac:dyDescent="0.3">
      <c r="A8" s="170"/>
      <c r="B8" s="170"/>
      <c r="C8" s="170"/>
      <c r="D8" s="160"/>
      <c r="E8" s="158"/>
      <c r="F8" s="158"/>
      <c r="G8" s="158"/>
      <c r="H8" s="158"/>
      <c r="I8" s="158"/>
      <c r="J8" s="158"/>
      <c r="K8" s="158"/>
      <c r="L8" s="158"/>
      <c r="M8" s="170"/>
      <c r="N8" s="166" t="s">
        <v>302</v>
      </c>
      <c r="O8" s="167">
        <f>fcross</f>
        <v>33000</v>
      </c>
      <c r="P8" s="173" t="str">
        <f t="shared" ref="P8:P13" si="28">COMPLEX(Adc,0)</f>
        <v>120,833333333333</v>
      </c>
      <c r="Q8" s="174" t="str">
        <f t="shared" ref="Q8:Q13" si="29">IMSUM(COMPLEX(1,0),IMDIV(COMPLEX(0,2*PI()*O8),COMPLEX(wp_lf,0)))</f>
        <v>1+184,88272766376i</v>
      </c>
      <c r="R8" s="174">
        <f t="shared" si="0"/>
        <v>184.8854320610254</v>
      </c>
      <c r="S8" s="174">
        <f t="shared" si="1"/>
        <v>1.5653875454502104</v>
      </c>
      <c r="T8" s="174" t="str">
        <f t="shared" ref="T8:T13" si="30">IMSUM(COMPLEX(1,0),IMDIV(COMPLEX(0,2*PI()*O8),COMPLEX(wz_esr,0)))</f>
        <v>1+0,0124407069082155i</v>
      </c>
      <c r="U8" s="174">
        <f t="shared" si="2"/>
        <v>1.0000773826001546</v>
      </c>
      <c r="V8" s="174">
        <f t="shared" si="3"/>
        <v>1.2440065146812677E-2</v>
      </c>
      <c r="W8" s="175" t="str">
        <f t="shared" ref="W8:W13" si="31">IMSUB(COMPLEX(1,0),IMDIV(COMPLEX(0,2*PI()*O8),COMPLEX(wz_rhp,0)))</f>
        <v>1-0,106492451134325i</v>
      </c>
      <c r="X8" s="174">
        <f t="shared" si="4"/>
        <v>1.0056543353203409</v>
      </c>
      <c r="Y8" s="174">
        <f t="shared" si="5"/>
        <v>-0.10609260408182848</v>
      </c>
      <c r="Z8" s="175" t="str">
        <f t="shared" si="6"/>
        <v>0,9991+0,0412484656066958i</v>
      </c>
      <c r="AA8" s="174">
        <f t="shared" si="7"/>
        <v>0.99995112176291234</v>
      </c>
      <c r="AB8" s="174">
        <f t="shared" si="8"/>
        <v>4.1262189476663054E-2</v>
      </c>
      <c r="AC8" s="176" t="str">
        <f t="shared" si="9"/>
        <v>-0,0848912009465605-0,65183166398191i</v>
      </c>
      <c r="AD8" s="177">
        <f t="shared" si="10"/>
        <v>-3.6442474514895413</v>
      </c>
      <c r="AE8" s="167">
        <f t="shared" si="11"/>
        <v>-97.42014418878334</v>
      </c>
      <c r="AF8" s="175" t="str">
        <f t="shared" si="12"/>
        <v>-0,0000375877424711299</v>
      </c>
      <c r="AG8" s="175" t="str">
        <f t="shared" si="13"/>
        <v>0,000210040601633706i</v>
      </c>
      <c r="AH8" s="175">
        <f t="shared" si="14"/>
        <v>2.10040601633706E-4</v>
      </c>
      <c r="AI8" s="175">
        <f t="shared" si="15"/>
        <v>1.5707963267948966</v>
      </c>
      <c r="AJ8" s="175" t="str">
        <f t="shared" si="16"/>
        <v>1+0,191584430175876i</v>
      </c>
      <c r="AK8" s="175">
        <f t="shared" si="17"/>
        <v>1.0181869150042222</v>
      </c>
      <c r="AL8" s="175">
        <f t="shared" si="18"/>
        <v>0.18929072627906546</v>
      </c>
      <c r="AM8" s="175" t="str">
        <f t="shared" si="19"/>
        <v>1+14,9288482898587i</v>
      </c>
      <c r="AN8" s="175">
        <f t="shared" si="20"/>
        <v>14.962303006610211</v>
      </c>
      <c r="AO8" s="175">
        <f t="shared" si="21"/>
        <v>1.5039118386248593</v>
      </c>
      <c r="AP8" s="166" t="str">
        <f t="shared" si="22"/>
        <v>-2,54392805813685+0,666331657997797i</v>
      </c>
      <c r="AQ8" s="175">
        <f t="shared" si="23"/>
        <v>8.3982784621561031</v>
      </c>
      <c r="AR8" s="167">
        <f t="shared" si="24"/>
        <v>165.32224139620763</v>
      </c>
      <c r="AS8" s="166" t="str">
        <f t="shared" si="25"/>
        <v>0,650293181373418+1,60164716450947i</v>
      </c>
      <c r="AT8" s="177">
        <f t="shared" si="26"/>
        <v>4.7540310106665782</v>
      </c>
      <c r="AU8" s="167">
        <f t="shared" si="27"/>
        <v>67.902097207424333</v>
      </c>
      <c r="AV8" s="225"/>
    </row>
    <row r="9" spans="1:51" x14ac:dyDescent="0.25">
      <c r="A9" s="178" t="s">
        <v>205</v>
      </c>
      <c r="B9" s="170"/>
      <c r="C9" s="170"/>
      <c r="D9" s="160"/>
      <c r="E9" s="158"/>
      <c r="F9" s="158"/>
      <c r="G9" s="158"/>
      <c r="H9" s="158"/>
      <c r="I9" s="158"/>
      <c r="J9" s="158"/>
      <c r="K9" s="158"/>
      <c r="L9" s="158"/>
      <c r="M9" s="170"/>
      <c r="N9" s="179" t="s">
        <v>303</v>
      </c>
      <c r="O9" s="180">
        <f>wz_rhp/(2*PI())</f>
        <v>309881.11972721049</v>
      </c>
      <c r="P9" s="181" t="str">
        <f t="shared" si="28"/>
        <v>120,833333333333</v>
      </c>
      <c r="Q9" s="182" t="str">
        <f t="shared" si="29"/>
        <v>1+1736,11111111112i</v>
      </c>
      <c r="R9" s="182">
        <f t="shared" si="0"/>
        <v>1736.111399111096</v>
      </c>
      <c r="S9" s="182">
        <f t="shared" si="1"/>
        <v>1.5702203268585977</v>
      </c>
      <c r="T9" s="182" t="str">
        <f t="shared" si="30"/>
        <v>1+0,116822429906542i</v>
      </c>
      <c r="U9" s="182">
        <f t="shared" si="2"/>
        <v>1.0068006158764848</v>
      </c>
      <c r="V9" s="182">
        <f t="shared" si="3"/>
        <v>0.11629529572242255</v>
      </c>
      <c r="W9" s="183" t="str">
        <f t="shared" si="31"/>
        <v>1-i</v>
      </c>
      <c r="X9" s="182">
        <f t="shared" si="4"/>
        <v>1.4142135623730951</v>
      </c>
      <c r="Y9" s="182">
        <f t="shared" si="5"/>
        <v>-0.78539816339744828</v>
      </c>
      <c r="Z9" s="183" t="str">
        <f t="shared" si="6"/>
        <v>0,920639414575711+0,387336991188856i</v>
      </c>
      <c r="AA9" s="182">
        <f t="shared" si="7"/>
        <v>0.99880272146883131</v>
      </c>
      <c r="AB9" s="182">
        <f t="shared" si="8"/>
        <v>0.39824501732753648</v>
      </c>
      <c r="AC9" s="184" t="str">
        <f t="shared" si="9"/>
        <v>-0,0868793391961733-0,0479173919961397i</v>
      </c>
      <c r="AD9" s="185">
        <f t="shared" si="10"/>
        <v>-20.068241581536075</v>
      </c>
      <c r="AE9" s="186">
        <f t="shared" si="11"/>
        <v>-151.12152671751184</v>
      </c>
      <c r="AF9" s="183" t="str">
        <f t="shared" si="12"/>
        <v>-0,0000375877424711299</v>
      </c>
      <c r="AG9" s="183" t="str">
        <f t="shared" si="13"/>
        <v>0,00197235202492212i</v>
      </c>
      <c r="AH9" s="183">
        <f t="shared" si="14"/>
        <v>1.9723520249221201E-3</v>
      </c>
      <c r="AI9" s="183">
        <f t="shared" si="15"/>
        <v>1.5707963267948966</v>
      </c>
      <c r="AJ9" s="183" t="str">
        <f t="shared" si="16"/>
        <v>1+1,79904235591516i</v>
      </c>
      <c r="AK9" s="183">
        <f t="shared" si="17"/>
        <v>2.0582889491946386</v>
      </c>
      <c r="AL9" s="183">
        <f t="shared" si="18"/>
        <v>1.0634718710926006</v>
      </c>
      <c r="AM9" s="183" t="str">
        <f t="shared" si="19"/>
        <v>1+140,186915887851i</v>
      </c>
      <c r="AN9" s="183">
        <f t="shared" si="20"/>
        <v>140.19048250914688</v>
      </c>
      <c r="AO9" s="183">
        <f t="shared" si="21"/>
        <v>1.5636631144497708</v>
      </c>
      <c r="AP9" s="179" t="str">
        <f t="shared" si="22"/>
        <v>-0,622511191620049+1,1389813201369i</v>
      </c>
      <c r="AQ9" s="183">
        <f t="shared" si="23"/>
        <v>2.2654800103190915</v>
      </c>
      <c r="AR9" s="186">
        <f t="shared" si="24"/>
        <v>118.65884719376697</v>
      </c>
      <c r="AS9" s="179" t="str">
        <f t="shared" si="25"/>
        <v>0,108660375363453-0,0691248316594371i</v>
      </c>
      <c r="AT9" s="185">
        <f t="shared" si="26"/>
        <v>-17.802761571216973</v>
      </c>
      <c r="AU9" s="186">
        <f t="shared" si="27"/>
        <v>-32.462679523744811</v>
      </c>
      <c r="AV9" s="225"/>
    </row>
    <row r="10" spans="1:51" x14ac:dyDescent="0.25">
      <c r="A10" s="98" t="s">
        <v>25</v>
      </c>
      <c r="B10" s="187">
        <f>VIN_min</f>
        <v>11</v>
      </c>
      <c r="C10" s="98" t="s">
        <v>10</v>
      </c>
      <c r="E10" s="98" t="s">
        <v>28</v>
      </c>
      <c r="N10" s="168" t="s">
        <v>254</v>
      </c>
      <c r="O10" s="188">
        <f>wz_esr/(2*PI())</f>
        <v>2652582.3848649226</v>
      </c>
      <c r="P10" s="189" t="str">
        <f t="shared" si="28"/>
        <v>120,833333333333</v>
      </c>
      <c r="Q10" s="160" t="str">
        <f t="shared" si="29"/>
        <v>1+14861,1111111112i</v>
      </c>
      <c r="R10" s="160">
        <f t="shared" si="0"/>
        <v>14861.111144756058</v>
      </c>
      <c r="S10" s="160">
        <f t="shared" si="1"/>
        <v>1.5707290370753719</v>
      </c>
      <c r="T10" s="160" t="str">
        <f t="shared" si="30"/>
        <v>1+i</v>
      </c>
      <c r="U10" s="160">
        <f t="shared" si="2"/>
        <v>1.4142135623730951</v>
      </c>
      <c r="V10" s="160">
        <f t="shared" si="3"/>
        <v>0.78539816339744828</v>
      </c>
      <c r="W10" s="98" t="str">
        <f t="shared" si="31"/>
        <v>1-8,56000000000001i</v>
      </c>
      <c r="X10" s="160">
        <f t="shared" si="4"/>
        <v>8.6182132719027198</v>
      </c>
      <c r="Y10" s="160">
        <f t="shared" si="5"/>
        <v>-1.4545010310724742</v>
      </c>
      <c r="Z10" s="98" t="str">
        <f t="shared" si="6"/>
        <v>-4,81503579214523+3,31560464457661i</v>
      </c>
      <c r="AA10" s="160">
        <f t="shared" si="7"/>
        <v>5.8461785671306377</v>
      </c>
      <c r="AB10" s="160">
        <f t="shared" si="8"/>
        <v>2.5385628272060439</v>
      </c>
      <c r="AC10" s="171" t="str">
        <f t="shared" si="9"/>
        <v>0,00111805203009975+0,0169140997142156i</v>
      </c>
      <c r="AD10" s="190">
        <f t="shared" si="10"/>
        <v>-35.416087348435184</v>
      </c>
      <c r="AE10" s="169">
        <f t="shared" si="11"/>
        <v>86.218149011349482</v>
      </c>
      <c r="AF10" s="98" t="str">
        <f t="shared" si="12"/>
        <v>-0,0000375877424711299</v>
      </c>
      <c r="AG10" s="98" t="str">
        <f t="shared" si="13"/>
        <v>0,0168833333333333i</v>
      </c>
      <c r="AH10" s="98">
        <f t="shared" si="14"/>
        <v>1.6883333333333299E-2</v>
      </c>
      <c r="AI10" s="98">
        <f t="shared" si="15"/>
        <v>1.5707963267948966</v>
      </c>
      <c r="AJ10" s="98" t="str">
        <f t="shared" si="16"/>
        <v>1+15,3998025666338i</v>
      </c>
      <c r="AK10" s="98">
        <f t="shared" si="17"/>
        <v>15.43223636066079</v>
      </c>
      <c r="AL10" s="98">
        <f t="shared" si="18"/>
        <v>1.5059514702364549</v>
      </c>
      <c r="AM10" s="98" t="str">
        <f t="shared" si="19"/>
        <v>1+1200i</v>
      </c>
      <c r="AN10" s="98">
        <f t="shared" si="20"/>
        <v>1200.0004166665942</v>
      </c>
      <c r="AO10" s="98">
        <f t="shared" si="21"/>
        <v>1.5699629936544643</v>
      </c>
      <c r="AP10" s="168" t="str">
        <f t="shared" si="22"/>
        <v>-0,0110739387134521+0,172762792179784i</v>
      </c>
      <c r="AQ10" s="98">
        <f t="shared" si="23"/>
        <v>-15.233188436448973</v>
      </c>
      <c r="AR10" s="169">
        <f t="shared" si="24"/>
        <v>93.667590132054769</v>
      </c>
      <c r="AS10" s="168" t="str">
        <f t="shared" si="25"/>
        <v>-0,00293450833349495+5,85208689386749E-06i</v>
      </c>
      <c r="AT10" s="190">
        <f t="shared" si="26"/>
        <v>-50.649275784884146</v>
      </c>
      <c r="AU10" s="169">
        <f t="shared" si="27"/>
        <v>179.88573914340427</v>
      </c>
      <c r="AV10" s="225"/>
    </row>
    <row r="11" spans="1:51" ht="15.75" thickBot="1" x14ac:dyDescent="0.3">
      <c r="A11" s="98" t="s">
        <v>26</v>
      </c>
      <c r="B11" s="187">
        <f>VIN_nom</f>
        <v>15</v>
      </c>
      <c r="C11" s="98" t="s">
        <v>10</v>
      </c>
      <c r="E11" s="98" t="s">
        <v>29</v>
      </c>
      <c r="N11" s="191" t="s">
        <v>252</v>
      </c>
      <c r="O11" s="192">
        <f>wp_lf/(2*PI())</f>
        <v>178.49152496287331</v>
      </c>
      <c r="P11" s="193" t="str">
        <f t="shared" si="28"/>
        <v>120,833333333333</v>
      </c>
      <c r="Q11" s="194" t="str">
        <f t="shared" si="29"/>
        <v>1+i</v>
      </c>
      <c r="R11" s="194">
        <f t="shared" si="0"/>
        <v>1.4142135623730951</v>
      </c>
      <c r="S11" s="194">
        <f t="shared" si="1"/>
        <v>0.78539816339744828</v>
      </c>
      <c r="T11" s="194" t="str">
        <f t="shared" si="30"/>
        <v>1+0,0000672897196261679i</v>
      </c>
      <c r="U11" s="194">
        <f t="shared" si="2"/>
        <v>1.000000002263953</v>
      </c>
      <c r="V11" s="194">
        <f t="shared" si="3"/>
        <v>6.7289719524607388E-5</v>
      </c>
      <c r="W11" s="195" t="str">
        <f t="shared" si="31"/>
        <v>1-0,000575999999999997i</v>
      </c>
      <c r="X11" s="194">
        <f t="shared" si="4"/>
        <v>1.0000001658879862</v>
      </c>
      <c r="Y11" s="194">
        <f t="shared" si="5"/>
        <v>-5.759999362990177E-4</v>
      </c>
      <c r="Z11" s="195" t="str">
        <f t="shared" si="6"/>
        <v>0,999999973670062+0,00022310610692478i</v>
      </c>
      <c r="AA11" s="194">
        <f t="shared" si="7"/>
        <v>0.99999999855822974</v>
      </c>
      <c r="AB11" s="194">
        <f t="shared" si="8"/>
        <v>2.2310610909734849E-4</v>
      </c>
      <c r="AC11" s="196" t="str">
        <f t="shared" si="9"/>
        <v>60,3724468281494-60,4608746412962i</v>
      </c>
      <c r="AD11" s="197">
        <f t="shared" si="10"/>
        <v>38.633436640179248</v>
      </c>
      <c r="AE11" s="198">
        <f t="shared" si="11"/>
        <v>-45.041929986851294</v>
      </c>
      <c r="AF11" s="195" t="str">
        <f t="shared" si="12"/>
        <v>-0,0000375877424711299</v>
      </c>
      <c r="AG11" s="195" t="str">
        <f t="shared" si="13"/>
        <v>1,13607476635514E-06i</v>
      </c>
      <c r="AH11" s="195">
        <f t="shared" si="14"/>
        <v>1.1360747663551399E-6</v>
      </c>
      <c r="AI11" s="195">
        <f t="shared" si="15"/>
        <v>1.5707963267948966</v>
      </c>
      <c r="AJ11" s="195" t="str">
        <f t="shared" si="16"/>
        <v>1+0,00103624839700713i</v>
      </c>
      <c r="AK11" s="195">
        <f t="shared" si="17"/>
        <v>1.0000005369052261</v>
      </c>
      <c r="AL11" s="195">
        <f t="shared" si="18"/>
        <v>1.0362480260958161E-3</v>
      </c>
      <c r="AM11" s="195" t="str">
        <f t="shared" si="19"/>
        <v>1+0,0807476635514015i</v>
      </c>
      <c r="AN11" s="195">
        <f t="shared" si="20"/>
        <v>1.0032547957368609</v>
      </c>
      <c r="AO11" s="195">
        <f t="shared" si="21"/>
        <v>8.057285035933956E-2</v>
      </c>
      <c r="AP11" s="191" t="str">
        <f t="shared" si="22"/>
        <v>-2,63729907242541+33,0883568226593i</v>
      </c>
      <c r="AQ11" s="195">
        <f t="shared" si="23"/>
        <v>30.421006803683198</v>
      </c>
      <c r="AR11" s="198">
        <f t="shared" si="24"/>
        <v>94.557111630505247</v>
      </c>
      <c r="AS11" s="191" t="str">
        <f t="shared" si="25"/>
        <v>1841,33079592135+2157,07847151635i</v>
      </c>
      <c r="AT11" s="197">
        <f t="shared" si="26"/>
        <v>69.054443443862439</v>
      </c>
      <c r="AU11" s="198">
        <f t="shared" si="27"/>
        <v>49.515181643653932</v>
      </c>
      <c r="AV11" s="225"/>
      <c r="AX11" s="213" t="s">
        <v>537</v>
      </c>
      <c r="AY11" s="213"/>
    </row>
    <row r="12" spans="1:51" x14ac:dyDescent="0.25">
      <c r="A12" s="98" t="s">
        <v>27</v>
      </c>
      <c r="B12" s="187">
        <f>VIN_max</f>
        <v>22</v>
      </c>
      <c r="C12" s="98" t="s">
        <v>10</v>
      </c>
      <c r="E12" s="98" t="s">
        <v>30</v>
      </c>
      <c r="N12" s="179" t="s">
        <v>263</v>
      </c>
      <c r="O12" s="186">
        <f>wz_ea/(2*PI())</f>
        <v>2210.4853207207684</v>
      </c>
      <c r="P12" s="181" t="str">
        <f t="shared" si="28"/>
        <v>120,833333333333</v>
      </c>
      <c r="Q12" s="182" t="str">
        <f t="shared" si="29"/>
        <v>1+12,3842592592593i</v>
      </c>
      <c r="R12" s="182">
        <f t="shared" si="0"/>
        <v>12.424567493500518</v>
      </c>
      <c r="S12" s="182">
        <f t="shared" si="1"/>
        <v>1.4902234764355569</v>
      </c>
      <c r="T12" s="182" t="str">
        <f t="shared" si="30"/>
        <v>1+0,000833333333333332i</v>
      </c>
      <c r="U12" s="182">
        <f t="shared" si="2"/>
        <v>1.0000003472221619</v>
      </c>
      <c r="V12" s="182">
        <f t="shared" si="3"/>
        <v>8.3333314043217783E-4</v>
      </c>
      <c r="W12" s="183" t="str">
        <f t="shared" si="31"/>
        <v>1-0,00713333333333333i</v>
      </c>
      <c r="X12" s="182">
        <f t="shared" si="4"/>
        <v>1.0000254418985772</v>
      </c>
      <c r="Y12" s="182">
        <f t="shared" si="5"/>
        <v>-7.1332123451259243E-3</v>
      </c>
      <c r="Z12" s="183" t="str">
        <f t="shared" si="6"/>
        <v>0,9999959617807+0,00276300387048051i</v>
      </c>
      <c r="AA12" s="182">
        <f t="shared" si="7"/>
        <v>0.99999977888402325</v>
      </c>
      <c r="AB12" s="182">
        <f t="shared" si="8"/>
        <v>2.7630079969889524E-3</v>
      </c>
      <c r="AC12" s="184" t="str">
        <f t="shared" si="9"/>
        <v>0,694885298581401-9,70075205559197i</v>
      </c>
      <c r="AD12" s="185">
        <f t="shared" si="10"/>
        <v>19.758335450536379</v>
      </c>
      <c r="AE12" s="186">
        <f t="shared" si="11"/>
        <v>-85.902780917930244</v>
      </c>
      <c r="AF12" s="183" t="str">
        <f t="shared" si="12"/>
        <v>-0,0000375877424711299</v>
      </c>
      <c r="AG12" s="183" t="str">
        <f t="shared" si="13"/>
        <v>0,0000140694444444444i</v>
      </c>
      <c r="AH12" s="183">
        <f t="shared" si="14"/>
        <v>1.4069444444444399E-5</v>
      </c>
      <c r="AI12" s="183">
        <f t="shared" si="15"/>
        <v>1.5707963267948966</v>
      </c>
      <c r="AJ12" s="183" t="str">
        <f t="shared" si="16"/>
        <v>1+0,0128331688055281i</v>
      </c>
      <c r="AK12" s="183">
        <f t="shared" si="17"/>
        <v>1.0000823417207161</v>
      </c>
      <c r="AL12" s="183">
        <f t="shared" si="18"/>
        <v>1.2832464375996283E-2</v>
      </c>
      <c r="AM12" s="183" t="str">
        <f t="shared" si="19"/>
        <v>1+i</v>
      </c>
      <c r="AN12" s="183">
        <f t="shared" si="20"/>
        <v>1.4142135623730951</v>
      </c>
      <c r="AO12" s="183">
        <f t="shared" si="21"/>
        <v>0.78539816339744828</v>
      </c>
      <c r="AP12" s="179" t="str">
        <f t="shared" si="22"/>
        <v>-2,63686763806988+2,70542619665969i</v>
      </c>
      <c r="AQ12" s="183">
        <f t="shared" si="23"/>
        <v>11.544970649722078</v>
      </c>
      <c r="AR12" s="186">
        <f t="shared" si="24"/>
        <v>134.26475395050352</v>
      </c>
      <c r="AS12" s="179" t="str">
        <f t="shared" si="25"/>
        <v>24,412348182499+27,4595600507861i</v>
      </c>
      <c r="AT12" s="185">
        <f t="shared" si="26"/>
        <v>31.303306100258443</v>
      </c>
      <c r="AU12" s="186">
        <f t="shared" si="27"/>
        <v>48.361973032573253</v>
      </c>
      <c r="AV12" s="225"/>
      <c r="AX12" t="s">
        <v>538</v>
      </c>
      <c r="AY12">
        <f>SUM(AX19:AX559)/1000</f>
        <v>54.954087385762506</v>
      </c>
    </row>
    <row r="13" spans="1:51" ht="15.75" thickBot="1" x14ac:dyDescent="0.3">
      <c r="A13" s="98" t="s">
        <v>68</v>
      </c>
      <c r="B13" s="187">
        <f>Fsw</f>
        <v>2200000</v>
      </c>
      <c r="C13" s="98" t="s">
        <v>69</v>
      </c>
      <c r="E13" s="98" t="s">
        <v>70</v>
      </c>
      <c r="N13" s="191" t="s">
        <v>269</v>
      </c>
      <c r="O13" s="198">
        <f>wp1_ea/(2*PI())</f>
        <v>172247.81768385682</v>
      </c>
      <c r="P13" s="193" t="str">
        <f t="shared" si="28"/>
        <v>120,833333333333</v>
      </c>
      <c r="Q13" s="194" t="str">
        <f t="shared" si="29"/>
        <v>1+965,019586894593i</v>
      </c>
      <c r="R13" s="194">
        <f t="shared" si="0"/>
        <v>965.02010501865243</v>
      </c>
      <c r="S13" s="194">
        <f t="shared" si="1"/>
        <v>1.5697600787688009</v>
      </c>
      <c r="T13" s="194" t="str">
        <f t="shared" si="30"/>
        <v>1+0,0649358974358975i</v>
      </c>
      <c r="U13" s="194">
        <f t="shared" si="2"/>
        <v>1.0021061175223935</v>
      </c>
      <c r="V13" s="194">
        <f t="shared" si="3"/>
        <v>6.4844856558441979E-2</v>
      </c>
      <c r="W13" s="195" t="str">
        <f t="shared" si="31"/>
        <v>1-0,555851282051283i</v>
      </c>
      <c r="X13" s="194">
        <f t="shared" si="4"/>
        <v>1.1441025512418259</v>
      </c>
      <c r="Y13" s="194">
        <f t="shared" si="5"/>
        <v>-0.50732445570229701</v>
      </c>
      <c r="Z13" s="195" t="str">
        <f t="shared" si="6"/>
        <v>0,975479908514999+0,215301763138212i</v>
      </c>
      <c r="AA13" s="194">
        <f t="shared" si="7"/>
        <v>0.99895740706341107</v>
      </c>
      <c r="AB13" s="194">
        <f t="shared" si="8"/>
        <v>0.21723093818545205</v>
      </c>
      <c r="AC13" s="196" t="str">
        <f t="shared" si="9"/>
        <v>-0,0879594456116918-0,113645211635036i</v>
      </c>
      <c r="AD13" s="197">
        <f t="shared" si="10"/>
        <v>-16.850358185672796</v>
      </c>
      <c r="AE13" s="198">
        <f t="shared" si="11"/>
        <v>-127.73925685085298</v>
      </c>
      <c r="AF13" s="195" t="str">
        <f t="shared" si="12"/>
        <v>-0,0000375877424711299</v>
      </c>
      <c r="AG13" s="195" t="str">
        <f t="shared" si="13"/>
        <v>0,0010963344017094i</v>
      </c>
      <c r="AH13" s="195">
        <f t="shared" si="14"/>
        <v>1.0963344017093999E-3</v>
      </c>
      <c r="AI13" s="195">
        <f t="shared" si="15"/>
        <v>1.5707963267948966</v>
      </c>
      <c r="AJ13" s="195" t="str">
        <f t="shared" si="16"/>
        <v>1+i</v>
      </c>
      <c r="AK13" s="195">
        <f t="shared" si="17"/>
        <v>1.4142135623730951</v>
      </c>
      <c r="AL13" s="195">
        <f t="shared" si="18"/>
        <v>0.78539816339744828</v>
      </c>
      <c r="AM13" s="195" t="str">
        <f t="shared" si="19"/>
        <v>1+77,9230769230771i</v>
      </c>
      <c r="AN13" s="195">
        <f t="shared" si="20"/>
        <v>77.92949324331444</v>
      </c>
      <c r="AO13" s="195">
        <f t="shared" si="21"/>
        <v>1.5579638624189003</v>
      </c>
      <c r="AP13" s="191" t="str">
        <f t="shared" si="22"/>
        <v>-1,31865095219275+1,35293587694976i</v>
      </c>
      <c r="AQ13" s="195">
        <f t="shared" si="23"/>
        <v>5.525801099751475</v>
      </c>
      <c r="AR13" s="198">
        <f t="shared" si="24"/>
        <v>134.26475395050346</v>
      </c>
      <c r="AS13" s="191" t="str">
        <f t="shared" si="25"/>
        <v>0,269742490774792+0,0308548768500179i</v>
      </c>
      <c r="AT13" s="197">
        <f t="shared" si="26"/>
        <v>-11.324557085921334</v>
      </c>
      <c r="AU13" s="198">
        <f t="shared" si="27"/>
        <v>6.5254970996504937</v>
      </c>
      <c r="AV13" s="225"/>
      <c r="AX13"/>
      <c r="AY13"/>
    </row>
    <row r="14" spans="1:51" x14ac:dyDescent="0.25">
      <c r="A14" s="98" t="s">
        <v>563</v>
      </c>
      <c r="B14" s="98" t="s">
        <v>495</v>
      </c>
      <c r="E14" s="98" t="s">
        <v>564</v>
      </c>
      <c r="AX14" t="s">
        <v>539</v>
      </c>
      <c r="AY14" s="23">
        <f>SUM(AY19:AY559)</f>
        <v>57.379173393152087</v>
      </c>
    </row>
    <row r="15" spans="1:51" ht="15.75" thickBot="1" x14ac:dyDescent="0.3">
      <c r="O15" s="199" t="s">
        <v>231</v>
      </c>
      <c r="P15" s="98">
        <f>B17</f>
        <v>15</v>
      </c>
      <c r="Q15" s="98" t="s">
        <v>10</v>
      </c>
    </row>
    <row r="16" spans="1:51" ht="15.75" thickBot="1" x14ac:dyDescent="0.3">
      <c r="A16" s="200" t="s">
        <v>262</v>
      </c>
      <c r="O16" s="201"/>
      <c r="P16" s="241" t="s">
        <v>260</v>
      </c>
      <c r="Q16" s="241"/>
      <c r="R16" s="241"/>
      <c r="S16" s="241"/>
      <c r="T16" s="241"/>
      <c r="U16" s="241"/>
      <c r="V16" s="241"/>
      <c r="W16" s="241"/>
      <c r="X16" s="241"/>
      <c r="Y16" s="241"/>
      <c r="Z16" s="241"/>
      <c r="AA16" s="241"/>
      <c r="AB16" s="241"/>
      <c r="AC16" s="241"/>
      <c r="AD16" s="241"/>
      <c r="AE16" s="242"/>
      <c r="AF16" s="240" t="s">
        <v>261</v>
      </c>
      <c r="AG16" s="241"/>
      <c r="AH16" s="241"/>
      <c r="AI16" s="241"/>
      <c r="AJ16" s="241"/>
      <c r="AK16" s="241"/>
      <c r="AL16" s="241"/>
      <c r="AM16" s="241"/>
      <c r="AN16" s="241"/>
      <c r="AO16" s="241"/>
      <c r="AP16" s="241"/>
      <c r="AQ16" s="241"/>
      <c r="AR16" s="242"/>
      <c r="AS16" s="240" t="s">
        <v>272</v>
      </c>
      <c r="AT16" s="241"/>
      <c r="AU16" s="242"/>
    </row>
    <row r="17" spans="1:51" x14ac:dyDescent="0.25">
      <c r="A17" s="98" t="s">
        <v>233</v>
      </c>
      <c r="B17" s="98">
        <f>VIN_var</f>
        <v>15</v>
      </c>
      <c r="C17" s="98" t="s">
        <v>10</v>
      </c>
      <c r="E17" s="98" t="s">
        <v>234</v>
      </c>
      <c r="O17" s="202"/>
      <c r="Q17" s="243" t="s">
        <v>252</v>
      </c>
      <c r="R17" s="243"/>
      <c r="S17" s="243"/>
      <c r="T17" s="238" t="s">
        <v>254</v>
      </c>
      <c r="U17" s="238"/>
      <c r="V17" s="238"/>
      <c r="W17" s="238" t="s">
        <v>253</v>
      </c>
      <c r="X17" s="238"/>
      <c r="Y17" s="238"/>
      <c r="Z17" s="238" t="s">
        <v>257</v>
      </c>
      <c r="AA17" s="238"/>
      <c r="AB17" s="238"/>
      <c r="AC17" s="237" t="s">
        <v>259</v>
      </c>
      <c r="AD17" s="238"/>
      <c r="AE17" s="239"/>
      <c r="AG17" s="238" t="s">
        <v>268</v>
      </c>
      <c r="AH17" s="238"/>
      <c r="AI17" s="238"/>
      <c r="AJ17" s="238" t="s">
        <v>269</v>
      </c>
      <c r="AK17" s="238"/>
      <c r="AL17" s="238"/>
      <c r="AM17" s="238" t="s">
        <v>263</v>
      </c>
      <c r="AN17" s="238"/>
      <c r="AO17" s="238"/>
      <c r="AP17" s="237" t="s">
        <v>259</v>
      </c>
      <c r="AQ17" s="238"/>
      <c r="AR17" s="239"/>
      <c r="AS17" s="237" t="s">
        <v>259</v>
      </c>
      <c r="AT17" s="238"/>
      <c r="AU17" s="239"/>
      <c r="AV17" s="223"/>
    </row>
    <row r="18" spans="1:51" ht="15.75" thickBot="1" x14ac:dyDescent="0.3">
      <c r="A18" s="98" t="s">
        <v>450</v>
      </c>
      <c r="C18" s="98" t="s">
        <v>11</v>
      </c>
      <c r="E18" s="98" t="s">
        <v>451</v>
      </c>
      <c r="N18" s="170"/>
      <c r="O18" s="203" t="s">
        <v>230</v>
      </c>
      <c r="P18" s="194" t="s">
        <v>235</v>
      </c>
      <c r="Q18" s="195" t="s">
        <v>258</v>
      </c>
      <c r="R18" s="194" t="s">
        <v>255</v>
      </c>
      <c r="S18" s="194" t="s">
        <v>256</v>
      </c>
      <c r="T18" s="194" t="s">
        <v>258</v>
      </c>
      <c r="U18" s="194" t="s">
        <v>255</v>
      </c>
      <c r="V18" s="194" t="s">
        <v>256</v>
      </c>
      <c r="W18" s="194" t="s">
        <v>258</v>
      </c>
      <c r="X18" s="194" t="s">
        <v>255</v>
      </c>
      <c r="Y18" s="194" t="s">
        <v>256</v>
      </c>
      <c r="Z18" s="194" t="s">
        <v>258</v>
      </c>
      <c r="AA18" s="194" t="s">
        <v>255</v>
      </c>
      <c r="AB18" s="194" t="s">
        <v>256</v>
      </c>
      <c r="AC18" s="196" t="s">
        <v>273</v>
      </c>
      <c r="AD18" s="194" t="s">
        <v>255</v>
      </c>
      <c r="AE18" s="204" t="s">
        <v>256</v>
      </c>
      <c r="AF18" s="194" t="s">
        <v>270</v>
      </c>
      <c r="AG18" s="194" t="s">
        <v>258</v>
      </c>
      <c r="AH18" s="194" t="s">
        <v>271</v>
      </c>
      <c r="AI18" s="194" t="s">
        <v>256</v>
      </c>
      <c r="AJ18" s="194" t="s">
        <v>258</v>
      </c>
      <c r="AK18" s="194" t="s">
        <v>271</v>
      </c>
      <c r="AL18" s="194" t="s">
        <v>256</v>
      </c>
      <c r="AM18" s="194" t="s">
        <v>258</v>
      </c>
      <c r="AN18" s="194" t="s">
        <v>271</v>
      </c>
      <c r="AO18" s="194" t="s">
        <v>256</v>
      </c>
      <c r="AP18" s="196" t="s">
        <v>273</v>
      </c>
      <c r="AQ18" s="194" t="s">
        <v>255</v>
      </c>
      <c r="AR18" s="204" t="s">
        <v>256</v>
      </c>
      <c r="AS18" s="196" t="s">
        <v>273</v>
      </c>
      <c r="AT18" s="194" t="s">
        <v>255</v>
      </c>
      <c r="AU18" s="204" t="s">
        <v>256</v>
      </c>
      <c r="AV18" s="225"/>
      <c r="AX18" s="98" t="s">
        <v>535</v>
      </c>
      <c r="AY18" s="98" t="s">
        <v>536</v>
      </c>
    </row>
    <row r="19" spans="1:51" x14ac:dyDescent="0.25">
      <c r="N19" s="170">
        <v>1</v>
      </c>
      <c r="O19" s="199">
        <f>10^(1+(N19/100))</f>
        <v>10.232929922807543</v>
      </c>
      <c r="P19" s="189" t="str">
        <f t="shared" ref="P19:P82" si="32">COMPLEX(Adc,0)</f>
        <v>120,833333333333</v>
      </c>
      <c r="Q19" s="160" t="str">
        <f t="shared" ref="Q19:Q82" si="33">IMSUM(COMPLEX(1,0),IMDIV(COMPLEX(0,2*PI()*O19),COMPLEX(wp_lf,0)))</f>
        <v>1+0,0573300604885081i</v>
      </c>
      <c r="R19" s="160">
        <f>IMABS(Q19)</f>
        <v>1.0016420198032907</v>
      </c>
      <c r="S19" s="160">
        <f>IMARGUMENT(Q19)</f>
        <v>5.7267374473485795E-2</v>
      </c>
      <c r="T19" s="160" t="str">
        <f t="shared" ref="T19:T82" si="34">IMSUM(COMPLEX(1,0),IMDIV(COMPLEX(0,2*PI()*O19),COMPLEX(wz_esr,0)))</f>
        <v>1+3,85772369642295E-06i</v>
      </c>
      <c r="U19" s="160">
        <f>IMABS(T19)</f>
        <v>1.0000000000074412</v>
      </c>
      <c r="V19" s="160">
        <f>IMARGUMENT(T19)</f>
        <v>3.8577236964038127E-6</v>
      </c>
      <c r="W19" s="98" t="str">
        <f t="shared" ref="W19:W82" si="35">IMSUB(COMPLEX(1,0),IMDIV(COMPLEX(0,2*PI()*O19),COMPLEX(wz_rhp,0)))</f>
        <v>1-0,0000330221148413805i</v>
      </c>
      <c r="X19" s="160">
        <f>IMABS(W19)</f>
        <v>1.0000000005452301</v>
      </c>
      <c r="Y19" s="160">
        <f>IMARGUMENT(W19)</f>
        <v>-3.3022114829377401E-5</v>
      </c>
      <c r="Z19" s="98" t="str">
        <f t="shared" ref="Z19:Z82" si="36">IF(Dc_Mode_Loop="CCM",IMSUM(COMPLEX(1,0),IMDIV(COMPLEX(0,2*PI()*O19),COMPLEX(Q*(wsl/2),0)),IMDIV(IMPOWER(COMPLEX(0,2*PI()*O19),2),IMPOWER(COMPLEX(wsl/2,0),2))),COMPLEX(1,0))</f>
        <v>0,99999999991346+0,0000127906866053532i</v>
      </c>
      <c r="AA19" s="160">
        <f>IMABS(Z19)</f>
        <v>0.99999999999526079</v>
      </c>
      <c r="AB19" s="160">
        <f>IMARGUMENT(Z19)</f>
        <v>1.2790686605762579E-5</v>
      </c>
      <c r="AC19" s="171" t="str">
        <f>(IMDIV(IMPRODUCT(P19,T19,W19),IMPRODUCT(Q19,Z19)))</f>
        <v>120,437197402831-6,90974138406547i</v>
      </c>
      <c r="AD19" s="190">
        <f>20*LOG(IMABS(AC19))</f>
        <v>41.629484422565113</v>
      </c>
      <c r="AE19" s="169">
        <f>(180/PI())*IMARGUMENT(AC19)</f>
        <v>-3.2835827100095378</v>
      </c>
      <c r="AF19" s="98" t="str">
        <f t="shared" ref="AF19:AF82" si="37">COMPLEX(Adc_ea,0)</f>
        <v>-0,0000375877424711299</v>
      </c>
      <c r="AG19" s="98" t="str">
        <f t="shared" ref="AG19:AG82" si="38">COMPLEX(0,2*PI()*O19*wp0_ea)</f>
        <v>6,51312350746077E-08i</v>
      </c>
      <c r="AH19" s="98">
        <f>IMABS(AG19)</f>
        <v>6.5131235074607702E-8</v>
      </c>
      <c r="AI19" s="98">
        <f>IMARGUMENT(AG19)</f>
        <v>1.5707963267948966</v>
      </c>
      <c r="AJ19" s="98" t="str">
        <f t="shared" ref="AJ19:AJ82" si="39">IMSUM(COMPLEX(1,0),IMDIV(COMPLEX(0,2*PI()*O19),COMPLEX(wp1_ea,0)))</f>
        <v>1+0,0000594081832815381i</v>
      </c>
      <c r="AK19" s="98">
        <f>IMABS(AJ19)</f>
        <v>1.000000001764666</v>
      </c>
      <c r="AL19" s="98">
        <f>IMARGUMENT(AJ19)</f>
        <v>5.9408183211647694E-5</v>
      </c>
      <c r="AM19" s="98" t="str">
        <f t="shared" ref="AM19:AM82" si="40">IMSUM(COMPLEX(1,0),IMDIV(COMPLEX(0,2*PI()*O19),COMPLEX(wz_ea,0)))</f>
        <v>1+0,00462926843570755i</v>
      </c>
      <c r="AN19" s="98">
        <f>IMABS(AM19)</f>
        <v>1.0000107150057191</v>
      </c>
      <c r="AO19" s="98">
        <f>IMARGUMENT(AM19)</f>
        <v>4.6292353675304009E-3</v>
      </c>
      <c r="AP19" s="168" t="str">
        <f>IMPRODUCT(AF19,IMDIV(AM19,IMPRODUCT(AG19,AJ19)))</f>
        <v>-2,63730189507757+577,107936501746i</v>
      </c>
      <c r="AQ19" s="98">
        <f>20*LOG(IMABS(AP19))</f>
        <v>55.225231632479932</v>
      </c>
      <c r="AR19" s="169">
        <f>(180/PI())*IMARGUMENT(AP19)</f>
        <v>90.261831810765614</v>
      </c>
      <c r="AS19" s="168" t="str">
        <f>IMPRODUCT(AC19,AP19)</f>
        <v>3670,03734297042+69523,4855452479i</v>
      </c>
      <c r="AT19" s="190">
        <f>20*LOG(IMABS(AS19))</f>
        <v>96.854716055045046</v>
      </c>
      <c r="AU19" s="169">
        <f>(180/PI())*IMARGUMENT(AS19)</f>
        <v>86.978249100756088</v>
      </c>
      <c r="AV19" s="225"/>
      <c r="AX19">
        <f>SUM((AT20&lt;0)*(AT19&gt;0))*O19</f>
        <v>0</v>
      </c>
      <c r="AY19">
        <f>IF(AX19&gt;0,AU19,0)</f>
        <v>0</v>
      </c>
    </row>
    <row r="20" spans="1:51" x14ac:dyDescent="0.25">
      <c r="A20" s="98" t="s">
        <v>31</v>
      </c>
      <c r="B20" s="205">
        <f>VOUT</f>
        <v>53.5</v>
      </c>
      <c r="C20" s="98" t="s">
        <v>10</v>
      </c>
      <c r="E20" s="98" t="s">
        <v>206</v>
      </c>
      <c r="N20" s="170">
        <v>2</v>
      </c>
      <c r="O20" s="199">
        <f t="shared" ref="O20:O83" si="41">10^(1+(N20/100))</f>
        <v>10.471285480509</v>
      </c>
      <c r="P20" s="189" t="str">
        <f t="shared" si="32"/>
        <v>120,833333333333</v>
      </c>
      <c r="Q20" s="160" t="str">
        <f t="shared" si="33"/>
        <v>1+0,0586654491449221i</v>
      </c>
      <c r="R20" s="160">
        <f t="shared" ref="R20:R83" si="42">IMABS(Q20)</f>
        <v>1.0017193393977055</v>
      </c>
      <c r="S20" s="160">
        <f t="shared" ref="S20:S83" si="43">IMARGUMENT(Q20)</f>
        <v>5.8598286094695425E-2</v>
      </c>
      <c r="T20" s="160" t="str">
        <f t="shared" si="34"/>
        <v>1+3,94758162470502E-06i</v>
      </c>
      <c r="U20" s="160">
        <f t="shared" ref="U20:U83" si="44">IMABS(T20)</f>
        <v>1.0000000000077915</v>
      </c>
      <c r="V20" s="160">
        <f t="shared" ref="V20:V83" si="45">IMARGUMENT(T20)</f>
        <v>3.947581624684514E-6</v>
      </c>
      <c r="W20" s="98" t="str">
        <f t="shared" si="35"/>
        <v>1-0,000033791298707475i</v>
      </c>
      <c r="X20" s="160">
        <f t="shared" ref="X20:X83" si="46">IMABS(W20)</f>
        <v>1.000000000570926</v>
      </c>
      <c r="Y20" s="160">
        <f t="shared" ref="Y20:Y83" si="47">IMARGUMENT(W20)</f>
        <v>-3.3791298694613452E-5</v>
      </c>
      <c r="Z20" s="98" t="str">
        <f t="shared" si="36"/>
        <v>0,999999999909382+0,0000130886199697173i</v>
      </c>
      <c r="AA20" s="160">
        <f t="shared" ref="AA20:AA83" si="48">IMABS(Z20)</f>
        <v>0.99999999999503797</v>
      </c>
      <c r="AB20" s="160">
        <f t="shared" ref="AB20:AB83" si="49">IMARGUMENT(Z20)</f>
        <v>1.3088619970155953E-5</v>
      </c>
      <c r="AC20" s="171" t="str">
        <f t="shared" ref="AC20:AC83" si="50">(IMDIV(IMPRODUCT(P20,T20,W20),IMPRODUCT(Q20,Z20)))</f>
        <v>120,418592124172-7,06959844975751i</v>
      </c>
      <c r="AD20" s="190">
        <f t="shared" ref="AD20:AD83" si="51">20*LOG(IMABS(AC20))</f>
        <v>41.62881396016185</v>
      </c>
      <c r="AE20" s="169">
        <f t="shared" ref="AE20:AE83" si="52">(180/PI())*IMARGUMENT(AC20)</f>
        <v>-3.3598943216432189</v>
      </c>
      <c r="AF20" s="98" t="str">
        <f t="shared" si="37"/>
        <v>-0,0000375877424711299</v>
      </c>
      <c r="AG20" s="98" t="str">
        <f t="shared" si="38"/>
        <v>6,66483364304365E-08i</v>
      </c>
      <c r="AH20" s="98">
        <f t="shared" ref="AH20:AH83" si="53">IMABS(AG20)</f>
        <v>6.6648336430436498E-8</v>
      </c>
      <c r="AI20" s="98">
        <f t="shared" ref="AI20:AI83" si="54">IMARGUMENT(AG20)</f>
        <v>1.5707963267948966</v>
      </c>
      <c r="AJ20" s="98" t="str">
        <f t="shared" si="39"/>
        <v>1+0,0000607919776361286i</v>
      </c>
      <c r="AK20" s="98">
        <f t="shared" ref="AK20:AK83" si="55">IMABS(AJ20)</f>
        <v>1.0000000018478321</v>
      </c>
      <c r="AL20" s="98">
        <f t="shared" ref="AL20:AL83" si="56">IMARGUMENT(AJ20)</f>
        <v>6.0791977561239681E-5</v>
      </c>
      <c r="AM20" s="98" t="str">
        <f t="shared" si="40"/>
        <v>1+0,00473709794964603i</v>
      </c>
      <c r="AN20" s="98">
        <f t="shared" ref="AN20:AN83" si="57">IMABS(AM20)</f>
        <v>1.0000112199855482</v>
      </c>
      <c r="AO20" s="98">
        <f t="shared" ref="AO20:AO83" si="58">IMARGUMENT(AM20)</f>
        <v>4.7370625164772978E-3</v>
      </c>
      <c r="AP20" s="168" t="str">
        <f t="shared" ref="AP20:AP83" si="59">IMPRODUCT(AF20,IMDIV(AM20,IMPRODUCT(AG20,AJ20)))</f>
        <v>-2,63730189463891+563,971363274401i</v>
      </c>
      <c r="AQ20" s="98">
        <f t="shared" ref="AQ20:AQ83" si="60">20*LOG(IMABS(AP20))</f>
        <v>55.025236017908483</v>
      </c>
      <c r="AR20" s="169">
        <f t="shared" ref="AR20:AR83" si="61">(180/PI())*IMARGUMENT(AP20)</f>
        <v>90.267930565741253</v>
      </c>
      <c r="AS20" s="168" t="str">
        <f t="shared" ref="AS20:AS83" si="62">IMPRODUCT(AC20,AP20)</f>
        <v>3669,47089435351+67931,2822292392i</v>
      </c>
      <c r="AT20" s="190">
        <f t="shared" ref="AT20:AT83" si="63">20*LOG(IMABS(AS20))</f>
        <v>96.654049978070319</v>
      </c>
      <c r="AU20" s="169">
        <f t="shared" ref="AU20:AU83" si="64">(180/PI())*IMARGUMENT(AS20)</f>
        <v>86.908036244098042</v>
      </c>
      <c r="AV20" s="225"/>
      <c r="AX20">
        <f t="shared" ref="AX20:AX83" si="65">SUM((AT21&lt;0)*(AT20&gt;0))*O20</f>
        <v>0</v>
      </c>
      <c r="AY20">
        <f t="shared" ref="AY20:AY83" si="66">IF(AX20&gt;0,AU20,0)</f>
        <v>0</v>
      </c>
    </row>
    <row r="21" spans="1:51" x14ac:dyDescent="0.25">
      <c r="A21" s="98" t="s">
        <v>33</v>
      </c>
      <c r="B21" s="205">
        <f>IOUT</f>
        <v>6</v>
      </c>
      <c r="C21" s="98" t="s">
        <v>11</v>
      </c>
      <c r="E21" s="98" t="s">
        <v>34</v>
      </c>
      <c r="N21" s="170">
        <v>3</v>
      </c>
      <c r="O21" s="199">
        <f t="shared" si="41"/>
        <v>10.715193052376069</v>
      </c>
      <c r="P21" s="189" t="str">
        <f t="shared" si="32"/>
        <v>120,833333333333</v>
      </c>
      <c r="Q21" s="160" t="str">
        <f t="shared" si="33"/>
        <v>1+0,0600319429990017i</v>
      </c>
      <c r="R21" s="160">
        <f t="shared" si="42"/>
        <v>1.0018002965562725</v>
      </c>
      <c r="S21" s="160">
        <f t="shared" si="43"/>
        <v>5.9959983477115938E-2</v>
      </c>
      <c r="T21" s="160" t="str">
        <f t="shared" si="34"/>
        <v>1+4,03953261301692E-06i</v>
      </c>
      <c r="U21" s="160">
        <f t="shared" si="44"/>
        <v>1.0000000000081588</v>
      </c>
      <c r="V21" s="160">
        <f t="shared" si="45"/>
        <v>4.0395326129949479E-6</v>
      </c>
      <c r="W21" s="98" t="str">
        <f t="shared" si="35"/>
        <v>1-0,0000345783991674248i</v>
      </c>
      <c r="X21" s="160">
        <f t="shared" si="46"/>
        <v>1.0000000005978329</v>
      </c>
      <c r="Y21" s="160">
        <f t="shared" si="47"/>
        <v>-3.4578399153643399E-5</v>
      </c>
      <c r="Z21" s="98" t="str">
        <f t="shared" si="36"/>
        <v>0,999999999905111+0,0000133934930936376i</v>
      </c>
      <c r="AA21" s="160">
        <f t="shared" si="48"/>
        <v>0.99999999999480371</v>
      </c>
      <c r="AB21" s="160">
        <f t="shared" si="49"/>
        <v>1.3393493094107629E-5</v>
      </c>
      <c r="AC21" s="171" t="str">
        <f t="shared" si="50"/>
        <v>120,399116161309-7,23310137198327i</v>
      </c>
      <c r="AD21" s="190">
        <f t="shared" si="51"/>
        <v>41.628112010759338</v>
      </c>
      <c r="AE21" s="169">
        <f t="shared" si="52"/>
        <v>-3.4379711317040078</v>
      </c>
      <c r="AF21" s="98" t="str">
        <f t="shared" si="37"/>
        <v>-0,0000375877424711299</v>
      </c>
      <c r="AG21" s="98" t="str">
        <f t="shared" si="38"/>
        <v>6,82007756164358E-08i</v>
      </c>
      <c r="AH21" s="98">
        <f t="shared" si="53"/>
        <v>6.8200775616435805E-8</v>
      </c>
      <c r="AI21" s="98">
        <f t="shared" si="54"/>
        <v>1.5707963267948966</v>
      </c>
      <c r="AJ21" s="98" t="str">
        <f t="shared" si="39"/>
        <v>1+0,0000622080047019387i</v>
      </c>
      <c r="AK21" s="98">
        <f t="shared" si="55"/>
        <v>1.0000000019349178</v>
      </c>
      <c r="AL21" s="98">
        <f t="shared" si="56"/>
        <v>6.2208004621693786E-5</v>
      </c>
      <c r="AM21" s="98" t="str">
        <f t="shared" si="40"/>
        <v>1+0,00484743913562031i</v>
      </c>
      <c r="AN21" s="98">
        <f t="shared" si="57"/>
        <v>1.0000117487640701</v>
      </c>
      <c r="AO21" s="98">
        <f t="shared" si="58"/>
        <v>4.8474011683200596E-3</v>
      </c>
      <c r="AP21" s="168" t="str">
        <f t="shared" si="59"/>
        <v>-2,63730189417956+551,133815128911i</v>
      </c>
      <c r="AQ21" s="98">
        <f t="shared" si="60"/>
        <v>54.825240610011221</v>
      </c>
      <c r="AR21" s="169">
        <f t="shared" si="61"/>
        <v>90.274171372434765</v>
      </c>
      <c r="AS21" s="168" t="str">
        <f t="shared" si="62"/>
        <v>3668,87793724554+66375,1001000803i</v>
      </c>
      <c r="AT21" s="190">
        <f t="shared" si="63"/>
        <v>96.453352620770559</v>
      </c>
      <c r="AU21" s="169">
        <f t="shared" si="64"/>
        <v>86.836200240730761</v>
      </c>
      <c r="AV21" s="225"/>
      <c r="AX21">
        <f t="shared" si="65"/>
        <v>0</v>
      </c>
      <c r="AY21">
        <f t="shared" si="66"/>
        <v>0</v>
      </c>
    </row>
    <row r="22" spans="1:51" x14ac:dyDescent="0.25">
      <c r="N22" s="170">
        <v>4</v>
      </c>
      <c r="O22" s="199">
        <f t="shared" si="41"/>
        <v>10.964781961431854</v>
      </c>
      <c r="P22" s="189" t="str">
        <f t="shared" si="32"/>
        <v>120,833333333333</v>
      </c>
      <c r="Q22" s="160" t="str">
        <f t="shared" si="33"/>
        <v>1+0,0614302665838762i</v>
      </c>
      <c r="R22" s="160">
        <f t="shared" si="42"/>
        <v>1.0018850620967288</v>
      </c>
      <c r="S22" s="160">
        <f t="shared" si="43"/>
        <v>6.135316840021731E-2</v>
      </c>
      <c r="T22" s="160" t="str">
        <f t="shared" si="34"/>
        <v>1+4,13362541498978E-06i</v>
      </c>
      <c r="U22" s="160">
        <f t="shared" si="44"/>
        <v>1.0000000000085434</v>
      </c>
      <c r="V22" s="160">
        <f t="shared" si="45"/>
        <v>4.1336254149662365E-6</v>
      </c>
      <c r="W22" s="98" t="str">
        <f t="shared" si="35"/>
        <v>1-0,0000353838335523125i</v>
      </c>
      <c r="X22" s="160">
        <f t="shared" si="46"/>
        <v>1.0000000006260077</v>
      </c>
      <c r="Y22" s="160">
        <f t="shared" si="47"/>
        <v>-3.538383353754546E-5</v>
      </c>
      <c r="Z22" s="98" t="str">
        <f t="shared" si="36"/>
        <v>0,999999999900639+0,00001370546762488i</v>
      </c>
      <c r="AA22" s="160">
        <f t="shared" si="48"/>
        <v>0.99999999999455902</v>
      </c>
      <c r="AB22" s="160">
        <f t="shared" si="49"/>
        <v>1.3705467625383643E-5</v>
      </c>
      <c r="AC22" s="171" t="str">
        <f t="shared" si="50"/>
        <v>120,378729070761-7,40032956199958i</v>
      </c>
      <c r="AD22" s="190">
        <f t="shared" si="51"/>
        <v>41.627377101082928</v>
      </c>
      <c r="AE22" s="169">
        <f t="shared" si="52"/>
        <v>-3.5178533795733768</v>
      </c>
      <c r="AF22" s="98" t="str">
        <f t="shared" si="37"/>
        <v>-0,0000375877424711299</v>
      </c>
      <c r="AG22" s="98" t="str">
        <f t="shared" si="38"/>
        <v>6,97893757564109E-08i</v>
      </c>
      <c r="AH22" s="98">
        <f t="shared" si="53"/>
        <v>6.9789375756410905E-8</v>
      </c>
      <c r="AI22" s="98">
        <f t="shared" si="54"/>
        <v>1.5707963267948966</v>
      </c>
      <c r="AJ22" s="98" t="str">
        <f t="shared" si="39"/>
        <v>1+0,0000636570152752621i</v>
      </c>
      <c r="AK22" s="98">
        <f t="shared" si="55"/>
        <v>1.0000000020261077</v>
      </c>
      <c r="AL22" s="98">
        <f t="shared" si="56"/>
        <v>6.3657015189278116E-5</v>
      </c>
      <c r="AM22" s="98" t="str">
        <f t="shared" si="40"/>
        <v>1+0,00496035049798774i</v>
      </c>
      <c r="AN22" s="98">
        <f t="shared" si="57"/>
        <v>1.0000123024628562</v>
      </c>
      <c r="AO22" s="98">
        <f t="shared" si="58"/>
        <v>4.9603098153195848E-3</v>
      </c>
      <c r="AP22" s="168" t="str">
        <f t="shared" si="59"/>
        <v>-2,63730189369857+538,588485427318i</v>
      </c>
      <c r="AQ22" s="98">
        <f t="shared" si="60"/>
        <v>54.62524541852784</v>
      </c>
      <c r="AR22" s="169">
        <f t="shared" si="61"/>
        <v>90.280557539188379</v>
      </c>
      <c r="AS22" s="168" t="str">
        <f t="shared" si="62"/>
        <v>3668,25724032102+64854,1142710545i</v>
      </c>
      <c r="AT22" s="190">
        <f t="shared" si="63"/>
        <v>96.252622519610767</v>
      </c>
      <c r="AU22" s="169">
        <f t="shared" si="64"/>
        <v>86.762704159615012</v>
      </c>
      <c r="AV22" s="225"/>
      <c r="AX22">
        <f t="shared" si="65"/>
        <v>0</v>
      </c>
      <c r="AY22">
        <f t="shared" si="66"/>
        <v>0</v>
      </c>
    </row>
    <row r="23" spans="1:51" x14ac:dyDescent="0.25">
      <c r="A23" s="98" t="s">
        <v>207</v>
      </c>
      <c r="N23" s="170">
        <v>5</v>
      </c>
      <c r="O23" s="199">
        <f t="shared" si="41"/>
        <v>11.220184543019636</v>
      </c>
      <c r="P23" s="189" t="str">
        <f t="shared" si="32"/>
        <v>120,833333333333</v>
      </c>
      <c r="Q23" s="160" t="str">
        <f t="shared" si="33"/>
        <v>1+0,0628611613092191i</v>
      </c>
      <c r="R23" s="160">
        <f t="shared" si="42"/>
        <v>1.0019738148280841</v>
      </c>
      <c r="S23" s="160">
        <f t="shared" si="43"/>
        <v>6.2778557903891655E-2</v>
      </c>
      <c r="T23" s="160" t="str">
        <f t="shared" si="34"/>
        <v>1+4,22990991987266E-06i</v>
      </c>
      <c r="U23" s="160">
        <f t="shared" si="44"/>
        <v>1.0000000000089462</v>
      </c>
      <c r="V23" s="160">
        <f t="shared" si="45"/>
        <v>4.2299099198474328E-6</v>
      </c>
      <c r="W23" s="98" t="str">
        <f t="shared" si="35"/>
        <v>1-0,00003620802891411i</v>
      </c>
      <c r="X23" s="160">
        <f t="shared" si="46"/>
        <v>1.0000000006555105</v>
      </c>
      <c r="Y23" s="160">
        <f t="shared" si="47"/>
        <v>-3.6208028898286836E-5</v>
      </c>
      <c r="Z23" s="98" t="str">
        <f t="shared" si="36"/>
        <v>0,999999999895957+0,0000140247089764705i</v>
      </c>
      <c r="AA23" s="160">
        <f t="shared" si="48"/>
        <v>0.99999999999430322</v>
      </c>
      <c r="AB23" s="160">
        <f t="shared" si="49"/>
        <v>1.4024708977010155E-5</v>
      </c>
      <c r="AC23" s="171" t="str">
        <f t="shared" si="50"/>
        <v>120,357388559504-7,57136389204169i</v>
      </c>
      <c r="AD23" s="190">
        <f t="shared" si="51"/>
        <v>41.626607689447624</v>
      </c>
      <c r="AE23" s="169">
        <f t="shared" si="52"/>
        <v>-3.599582179698146</v>
      </c>
      <c r="AF23" s="98" t="str">
        <f t="shared" si="37"/>
        <v>-0,0000375877424711299</v>
      </c>
      <c r="AG23" s="98" t="str">
        <f t="shared" si="38"/>
        <v>7,14149791471836E-08i</v>
      </c>
      <c r="AH23" s="98">
        <f t="shared" si="53"/>
        <v>7.1414979147183606E-8</v>
      </c>
      <c r="AI23" s="98">
        <f t="shared" si="54"/>
        <v>1.5707963267948966</v>
      </c>
      <c r="AJ23" s="98" t="str">
        <f t="shared" si="39"/>
        <v>1+0,0000651397776406846i</v>
      </c>
      <c r="AK23" s="98">
        <f t="shared" si="55"/>
        <v>1.0000000021215953</v>
      </c>
      <c r="AL23" s="98">
        <f t="shared" si="56"/>
        <v>6.51397775485511E-5</v>
      </c>
      <c r="AM23" s="98" t="str">
        <f t="shared" si="40"/>
        <v>1+0,0050758919038472i</v>
      </c>
      <c r="AN23" s="98">
        <f t="shared" si="57"/>
        <v>1.0000128822563334</v>
      </c>
      <c r="AO23" s="98">
        <f t="shared" si="58"/>
        <v>5.0758483116132118E-3</v>
      </c>
      <c r="AP23" s="168" t="str">
        <f t="shared" si="59"/>
        <v>-2,63730189319491+526,328722469762i</v>
      </c>
      <c r="AQ23" s="98">
        <f t="shared" si="60"/>
        <v>54.425250453657199</v>
      </c>
      <c r="AR23" s="169">
        <f t="shared" si="61"/>
        <v>90.287092451372089</v>
      </c>
      <c r="AS23" s="168" t="str">
        <f t="shared" si="62"/>
        <v>3667,60751594401+63367,518532647i</v>
      </c>
      <c r="AT23" s="190">
        <f t="shared" si="63"/>
        <v>96.051858143104823</v>
      </c>
      <c r="AU23" s="169">
        <f t="shared" si="64"/>
        <v>86.687510271673958</v>
      </c>
      <c r="AV23" s="225"/>
      <c r="AX23">
        <f t="shared" si="65"/>
        <v>0</v>
      </c>
      <c r="AY23">
        <f t="shared" si="66"/>
        <v>0</v>
      </c>
    </row>
    <row r="24" spans="1:51" x14ac:dyDescent="0.25">
      <c r="A24" s="98" t="s">
        <v>208</v>
      </c>
      <c r="B24" s="205">
        <f>Lm</f>
        <v>3.5999999999999999E-7</v>
      </c>
      <c r="C24" s="98" t="s">
        <v>98</v>
      </c>
      <c r="E24" s="98" t="s">
        <v>209</v>
      </c>
      <c r="N24" s="170">
        <v>6</v>
      </c>
      <c r="O24" s="199">
        <f t="shared" si="41"/>
        <v>11.481536214968834</v>
      </c>
      <c r="P24" s="189" t="str">
        <f t="shared" si="32"/>
        <v>120,833333333333</v>
      </c>
      <c r="Q24" s="160" t="str">
        <f t="shared" si="33"/>
        <v>1+0,0643253858543539i</v>
      </c>
      <c r="R24" s="160">
        <f t="shared" si="42"/>
        <v>1.0020667419215705</v>
      </c>
      <c r="S24" s="160">
        <f t="shared" si="43"/>
        <v>6.4236884567333896E-2</v>
      </c>
      <c r="T24" s="160" t="str">
        <f t="shared" si="34"/>
        <v>1+4,32843717898454E-06i</v>
      </c>
      <c r="U24" s="160">
        <f t="shared" si="44"/>
        <v>1.0000000000093676</v>
      </c>
      <c r="V24" s="160">
        <f t="shared" si="45"/>
        <v>4.3284371789575088E-6</v>
      </c>
      <c r="W24" s="98" t="str">
        <f t="shared" si="35"/>
        <v>1-0,0000370514222521077i</v>
      </c>
      <c r="X24" s="160">
        <f t="shared" si="46"/>
        <v>1.0000000006864038</v>
      </c>
      <c r="Y24" s="160">
        <f t="shared" si="47"/>
        <v>-3.7051422235152869E-5</v>
      </c>
      <c r="Z24" s="98" t="str">
        <f t="shared" si="36"/>
        <v>0,999999999891053+0,0000143513864143992i</v>
      </c>
      <c r="AA24" s="160">
        <f t="shared" si="48"/>
        <v>0.99999999999403422</v>
      </c>
      <c r="AB24" s="160">
        <f t="shared" si="49"/>
        <v>1.4351386414977458E-5</v>
      </c>
      <c r="AC24" s="171" t="str">
        <f t="shared" si="50"/>
        <v>120,335050403186-7,74628670220936i</v>
      </c>
      <c r="AD24" s="190">
        <f t="shared" si="51"/>
        <v>41.625802162632006</v>
      </c>
      <c r="AE24" s="169">
        <f t="shared" si="52"/>
        <v>-3.6831995375857991</v>
      </c>
      <c r="AF24" s="98" t="str">
        <f t="shared" si="37"/>
        <v>-0,0000375877424711299</v>
      </c>
      <c r="AG24" s="98" t="str">
        <f t="shared" si="38"/>
        <v>7,30784477051892E-08i</v>
      </c>
      <c r="AH24" s="98">
        <f t="shared" si="53"/>
        <v>7.3078447705189202E-8</v>
      </c>
      <c r="AI24" s="98">
        <f t="shared" si="54"/>
        <v>1.5707963267948966</v>
      </c>
      <c r="AJ24" s="98" t="str">
        <f t="shared" si="39"/>
        <v>1+0,0000666570779784391i</v>
      </c>
      <c r="AK24" s="98">
        <f t="shared" si="55"/>
        <v>1.0000000022215829</v>
      </c>
      <c r="AL24" s="98">
        <f t="shared" si="56"/>
        <v>6.6657077879716289E-5</v>
      </c>
      <c r="AM24" s="98" t="str">
        <f t="shared" si="40"/>
        <v>1+0,00519412461478146i</v>
      </c>
      <c r="AN24" s="98">
        <f t="shared" si="57"/>
        <v>1.0000134893742754</v>
      </c>
      <c r="AO24" s="98">
        <f t="shared" si="58"/>
        <v>5.1940779048952126E-3</v>
      </c>
      <c r="AP24" s="168" t="str">
        <f t="shared" si="59"/>
        <v>-2,63730189266752+514,348025967645i</v>
      </c>
      <c r="AQ24" s="98">
        <f t="shared" si="60"/>
        <v>54.225255726078657</v>
      </c>
      <c r="AR24" s="169">
        <f t="shared" si="61"/>
        <v>90.293779573175456</v>
      </c>
      <c r="AS24" s="168" t="str">
        <f t="shared" si="62"/>
        <v>3666,92741767824+61914,5249261767i</v>
      </c>
      <c r="AT24" s="190">
        <f t="shared" si="63"/>
        <v>95.85105788871067</v>
      </c>
      <c r="AU24" s="169">
        <f t="shared" si="64"/>
        <v>86.610580035589663</v>
      </c>
      <c r="AV24" s="225"/>
      <c r="AX24">
        <f t="shared" si="65"/>
        <v>0</v>
      </c>
      <c r="AY24">
        <f t="shared" si="66"/>
        <v>0</v>
      </c>
    </row>
    <row r="25" spans="1:51" x14ac:dyDescent="0.25">
      <c r="N25" s="170">
        <v>7</v>
      </c>
      <c r="O25" s="199">
        <f t="shared" si="41"/>
        <v>11.748975549395301</v>
      </c>
      <c r="P25" s="189" t="str">
        <f t="shared" si="32"/>
        <v>120,833333333333</v>
      </c>
      <c r="Q25" s="160" t="str">
        <f t="shared" si="33"/>
        <v>1+0,065823716570516i</v>
      </c>
      <c r="R25" s="160">
        <f t="shared" si="42"/>
        <v>1.0021640392985349</v>
      </c>
      <c r="S25" s="160">
        <f t="shared" si="43"/>
        <v>6.5728896789073329E-2</v>
      </c>
      <c r="T25" s="160" t="str">
        <f t="shared" si="34"/>
        <v>1+4,42925943278236E-06i</v>
      </c>
      <c r="U25" s="160">
        <f t="shared" si="44"/>
        <v>1.000000000009809</v>
      </c>
      <c r="V25" s="160">
        <f t="shared" si="45"/>
        <v>4.4292594327533946E-6</v>
      </c>
      <c r="W25" s="98" t="str">
        <f t="shared" si="35"/>
        <v>1-0,000037914460744617i</v>
      </c>
      <c r="X25" s="160">
        <f t="shared" si="46"/>
        <v>1.0000000007187531</v>
      </c>
      <c r="Y25" s="160">
        <f t="shared" si="47"/>
        <v>-3.7914460726449576E-5</v>
      </c>
      <c r="Z25" s="98" t="str">
        <f t="shared" si="36"/>
        <v>0,999999999885919+0,000014685673147368i</v>
      </c>
      <c r="AA25" s="160">
        <f t="shared" si="48"/>
        <v>0.99999999999375366</v>
      </c>
      <c r="AB25" s="160">
        <f t="shared" si="49"/>
        <v>1.4685673147987608E-5</v>
      </c>
      <c r="AC25" s="171" t="str">
        <f t="shared" si="50"/>
        <v>120,311668360985-7,92518180564977i</v>
      </c>
      <c r="AD25" s="190">
        <f t="shared" si="51"/>
        <v>41.624958832613174</v>
      </c>
      <c r="AE25" s="169">
        <f t="shared" si="52"/>
        <v>-3.7687483658658447</v>
      </c>
      <c r="AF25" s="98" t="str">
        <f t="shared" si="37"/>
        <v>-0,0000375877424711299</v>
      </c>
      <c r="AG25" s="98" t="str">
        <f t="shared" si="38"/>
        <v>7,47806634234756E-08i</v>
      </c>
      <c r="AH25" s="98">
        <f t="shared" si="53"/>
        <v>7.4780663423475599E-8</v>
      </c>
      <c r="AI25" s="98">
        <f t="shared" si="54"/>
        <v>1.5707963267948966</v>
      </c>
      <c r="AJ25" s="98" t="str">
        <f t="shared" si="39"/>
        <v>1+0,0000682097207812485i</v>
      </c>
      <c r="AK25" s="98">
        <f t="shared" si="55"/>
        <v>1.0000000023262829</v>
      </c>
      <c r="AL25" s="98">
        <f t="shared" si="56"/>
        <v>6.8209720675465089E-5</v>
      </c>
      <c r="AM25" s="98" t="str">
        <f t="shared" si="40"/>
        <v>1+0,00531511131933884i</v>
      </c>
      <c r="AN25" s="98">
        <f t="shared" si="57"/>
        <v>1.0000141251044092</v>
      </c>
      <c r="AO25" s="98">
        <f t="shared" si="58"/>
        <v>5.3150612688321634E-3</v>
      </c>
      <c r="AP25" s="168" t="str">
        <f t="shared" si="59"/>
        <v>-2,63730189211527+502,640043597095i</v>
      </c>
      <c r="AQ25" s="98">
        <f t="shared" si="60"/>
        <v>54.025261246974772</v>
      </c>
      <c r="AR25" s="169">
        <f t="shared" si="61"/>
        <v>90.300622449441065</v>
      </c>
      <c r="AS25" s="168" t="str">
        <f t="shared" si="62"/>
        <v>3666,21553769473+60494,3633271761i</v>
      </c>
      <c r="AT25" s="190">
        <f t="shared" si="63"/>
        <v>95.650220079587953</v>
      </c>
      <c r="AU25" s="169">
        <f t="shared" si="64"/>
        <v>86.531874083575218</v>
      </c>
      <c r="AV25" s="225"/>
      <c r="AX25">
        <f t="shared" si="65"/>
        <v>0</v>
      </c>
      <c r="AY25">
        <f t="shared" si="66"/>
        <v>0</v>
      </c>
    </row>
    <row r="26" spans="1:51" x14ac:dyDescent="0.25">
      <c r="A26" s="98" t="s">
        <v>160</v>
      </c>
      <c r="B26" s="205">
        <f>R_cs</f>
        <v>1.5E-3</v>
      </c>
      <c r="C26" s="206" t="s">
        <v>36</v>
      </c>
      <c r="E26" s="98" t="s">
        <v>210</v>
      </c>
      <c r="N26" s="170">
        <v>8</v>
      </c>
      <c r="O26" s="199">
        <f t="shared" si="41"/>
        <v>12.022644346174133</v>
      </c>
      <c r="P26" s="189" t="str">
        <f t="shared" si="32"/>
        <v>120,833333333333</v>
      </c>
      <c r="Q26" s="160" t="str">
        <f t="shared" si="33"/>
        <v>1+0,0673569478924835i</v>
      </c>
      <c r="R26" s="160">
        <f t="shared" si="42"/>
        <v>1.002265912036018</v>
      </c>
      <c r="S26" s="160">
        <f t="shared" si="43"/>
        <v>6.7255359067816795E-2</v>
      </c>
      <c r="T26" s="160" t="str">
        <f t="shared" si="34"/>
        <v>1+4,53243013855961E-06i</v>
      </c>
      <c r="U26" s="160">
        <f t="shared" si="44"/>
        <v>1.0000000000102713</v>
      </c>
      <c r="V26" s="160">
        <f t="shared" si="45"/>
        <v>4.5324301385285738E-6</v>
      </c>
      <c r="W26" s="98" t="str">
        <f t="shared" si="35"/>
        <v>1-0,0000387976019860703i</v>
      </c>
      <c r="X26" s="160">
        <f t="shared" si="46"/>
        <v>1.0000000007526268</v>
      </c>
      <c r="Y26" s="160">
        <f t="shared" si="47"/>
        <v>-3.8797601966603552E-5</v>
      </c>
      <c r="Z26" s="98" t="str">
        <f t="shared" si="36"/>
        <v>0,999999999880542+0,0000150277464186273i</v>
      </c>
      <c r="AA26" s="160">
        <f t="shared" si="48"/>
        <v>0.99999999999345857</v>
      </c>
      <c r="AB26" s="160">
        <f t="shared" si="49"/>
        <v>1.502774641929123E-5</v>
      </c>
      <c r="AC26" s="171" t="str">
        <f t="shared" si="50"/>
        <v>120,287194087032-8,108134491877i</v>
      </c>
      <c r="AD26" s="190">
        <f t="shared" si="51"/>
        <v>41.62407593315973</v>
      </c>
      <c r="AE26" s="169">
        <f t="shared" si="52"/>
        <v>-3.8562725003982741</v>
      </c>
      <c r="AF26" s="98" t="str">
        <f t="shared" si="37"/>
        <v>-0,0000375877424711299</v>
      </c>
      <c r="AG26" s="98" t="str">
        <f t="shared" si="38"/>
        <v>7,65225288393483E-08i</v>
      </c>
      <c r="AH26" s="98">
        <f t="shared" si="53"/>
        <v>7.6522528839348305E-8</v>
      </c>
      <c r="AI26" s="98">
        <f t="shared" si="54"/>
        <v>1.5707963267948966</v>
      </c>
      <c r="AJ26" s="98" t="str">
        <f t="shared" si="39"/>
        <v>1+0,0000697985292808785i</v>
      </c>
      <c r="AK26" s="98">
        <f t="shared" si="55"/>
        <v>1.0000000024359172</v>
      </c>
      <c r="AL26" s="98">
        <f t="shared" si="56"/>
        <v>6.9798529167529536E-5</v>
      </c>
      <c r="AM26" s="98" t="str">
        <f t="shared" si="40"/>
        <v>1+0,00543891616627154i</v>
      </c>
      <c r="AN26" s="98">
        <f t="shared" si="57"/>
        <v>1.000014790795148</v>
      </c>
      <c r="AO26" s="98">
        <f t="shared" si="58"/>
        <v>5.4388625362302399E-3</v>
      </c>
      <c r="AP26" s="168" t="str">
        <f t="shared" si="59"/>
        <v>-2,63730189153699+491,198567630886i</v>
      </c>
      <c r="AQ26" s="98">
        <f t="shared" si="60"/>
        <v>53.825267028055165</v>
      </c>
      <c r="AR26" s="169">
        <f t="shared" si="61"/>
        <v>90.307624707540285</v>
      </c>
      <c r="AS26" s="168" t="str">
        <f t="shared" si="62"/>
        <v>3665,47040407516+59106,2810383208i</v>
      </c>
      <c r="AT26" s="190">
        <f t="shared" si="63"/>
        <v>95.449342961214896</v>
      </c>
      <c r="AU26" s="169">
        <f t="shared" si="64"/>
        <v>86.451352207142023</v>
      </c>
      <c r="AV26" s="225"/>
      <c r="AX26">
        <f t="shared" si="65"/>
        <v>0</v>
      </c>
      <c r="AY26">
        <f t="shared" si="66"/>
        <v>0</v>
      </c>
    </row>
    <row r="27" spans="1:51" x14ac:dyDescent="0.25">
      <c r="A27" s="98" t="s">
        <v>161</v>
      </c>
      <c r="B27" s="205">
        <f>R_sl</f>
        <v>887</v>
      </c>
      <c r="C27" s="206" t="s">
        <v>36</v>
      </c>
      <c r="E27" s="98" t="s">
        <v>211</v>
      </c>
      <c r="N27" s="170">
        <v>9</v>
      </c>
      <c r="O27" s="199">
        <f t="shared" si="41"/>
        <v>12.302687708123818</v>
      </c>
      <c r="P27" s="189" t="str">
        <f t="shared" si="32"/>
        <v>120,833333333333</v>
      </c>
      <c r="Q27" s="160" t="str">
        <f t="shared" si="33"/>
        <v>1+0,0689258927597983i</v>
      </c>
      <c r="R27" s="160">
        <f t="shared" si="42"/>
        <v>1.0023725747907986</v>
      </c>
      <c r="S27" s="160">
        <f t="shared" si="43"/>
        <v>6.8817052283734192E-2</v>
      </c>
      <c r="T27" s="160" t="str">
        <f t="shared" si="34"/>
        <v>1+4,63800399879014E-06i</v>
      </c>
      <c r="U27" s="160">
        <f t="shared" si="44"/>
        <v>1.0000000000107554</v>
      </c>
      <c r="V27" s="160">
        <f t="shared" si="45"/>
        <v>4.6380039987568839E-6</v>
      </c>
      <c r="W27" s="98" t="str">
        <f t="shared" si="35"/>
        <v>1-0,0000397013142296436i</v>
      </c>
      <c r="X27" s="160">
        <f t="shared" si="46"/>
        <v>1.0000000007880971</v>
      </c>
      <c r="Y27" s="160">
        <f t="shared" si="47"/>
        <v>-3.9701314208784606E-5</v>
      </c>
      <c r="Z27" s="98" t="str">
        <f t="shared" si="36"/>
        <v>0,999999999874912+0,0000153777875999535i</v>
      </c>
      <c r="AA27" s="160">
        <f t="shared" si="48"/>
        <v>0.99999999999315026</v>
      </c>
      <c r="AB27" s="160">
        <f t="shared" si="49"/>
        <v>1.5377787600664915E-5</v>
      </c>
      <c r="AC27" s="171" t="str">
        <f t="shared" si="50"/>
        <v>120,261577038251-8,29523152805046i</v>
      </c>
      <c r="AD27" s="190">
        <f t="shared" si="51"/>
        <v>41.623151616273979</v>
      </c>
      <c r="AE27" s="169">
        <f t="shared" si="52"/>
        <v>-3.9458167164076356</v>
      </c>
      <c r="AF27" s="98" t="str">
        <f t="shared" si="37"/>
        <v>-0,0000375877424711299</v>
      </c>
      <c r="AG27" s="98" t="str">
        <f t="shared" si="38"/>
        <v>7,8304967512907E-08i</v>
      </c>
      <c r="AH27" s="98">
        <f t="shared" si="53"/>
        <v>7.8304967512906995E-8</v>
      </c>
      <c r="AI27" s="98">
        <f t="shared" si="54"/>
        <v>1.5707963267948966</v>
      </c>
      <c r="AJ27" s="98" t="str">
        <f t="shared" si="39"/>
        <v>1+0,000071424345884626i</v>
      </c>
      <c r="AK27" s="98">
        <f t="shared" si="55"/>
        <v>1.0000000025507185</v>
      </c>
      <c r="AL27" s="98">
        <f t="shared" si="56"/>
        <v>7.1424345763170387E-5</v>
      </c>
      <c r="AM27" s="98" t="str">
        <f t="shared" si="40"/>
        <v>1+0,00556560479854818i</v>
      </c>
      <c r="AN27" s="98">
        <f t="shared" si="57"/>
        <v>1.00001548785845</v>
      </c>
      <c r="AO27" s="98">
        <f t="shared" si="58"/>
        <v>5.5655473329716543E-3</v>
      </c>
      <c r="AP27" s="168" t="str">
        <f t="shared" si="59"/>
        <v>-2,63730189093146+480,017531647021i</v>
      </c>
      <c r="AQ27" s="98">
        <f t="shared" si="60"/>
        <v>53.625273081581298</v>
      </c>
      <c r="AR27" s="169">
        <f t="shared" si="61"/>
        <v>90.314790059292861</v>
      </c>
      <c r="AS27" s="168" t="str">
        <f t="shared" si="62"/>
        <v>3664,69047800595+57749,5423916739i</v>
      </c>
      <c r="AT27" s="190">
        <f t="shared" si="63"/>
        <v>95.24842469785527</v>
      </c>
      <c r="AU27" s="169">
        <f t="shared" si="64"/>
        <v>86.368973342885212</v>
      </c>
      <c r="AV27" s="225"/>
      <c r="AX27">
        <f t="shared" si="65"/>
        <v>0</v>
      </c>
      <c r="AY27">
        <f t="shared" si="66"/>
        <v>0</v>
      </c>
    </row>
    <row r="28" spans="1:51" x14ac:dyDescent="0.25">
      <c r="A28" s="98" t="s">
        <v>146</v>
      </c>
      <c r="B28" s="207">
        <f>Rsl_int</f>
        <v>1333</v>
      </c>
      <c r="C28" s="206" t="s">
        <v>36</v>
      </c>
      <c r="E28" s="98" t="s">
        <v>212</v>
      </c>
      <c r="N28" s="170">
        <v>10</v>
      </c>
      <c r="O28" s="199">
        <f t="shared" si="41"/>
        <v>12.58925411794168</v>
      </c>
      <c r="P28" s="189" t="str">
        <f t="shared" si="32"/>
        <v>120,833333333333</v>
      </c>
      <c r="Q28" s="160" t="str">
        <f t="shared" si="33"/>
        <v>1+0,0705313830477964i</v>
      </c>
      <c r="R28" s="160">
        <f t="shared" si="42"/>
        <v>1.0024842522427149</v>
      </c>
      <c r="S28" s="160">
        <f t="shared" si="43"/>
        <v>7.0414773979776579E-2</v>
      </c>
      <c r="T28" s="160" t="str">
        <f t="shared" si="34"/>
        <v>1+4,74603699013207E-06i</v>
      </c>
      <c r="U28" s="160">
        <f t="shared" si="44"/>
        <v>1.0000000000112625</v>
      </c>
      <c r="V28" s="160">
        <f t="shared" si="45"/>
        <v>4.7460369900964352E-6</v>
      </c>
      <c r="W28" s="98" t="str">
        <f t="shared" si="35"/>
        <v>1-0,0000406260766355305i</v>
      </c>
      <c r="X28" s="160">
        <f t="shared" si="46"/>
        <v>1.000000000825239</v>
      </c>
      <c r="Y28" s="160">
        <f t="shared" si="47"/>
        <v>-4.0626076613179688E-5</v>
      </c>
      <c r="Z28" s="98" t="str">
        <f t="shared" si="36"/>
        <v>0,999999999869017+0,0000157359822878143i</v>
      </c>
      <c r="AA28" s="160">
        <f t="shared" si="48"/>
        <v>0.99999999999282752</v>
      </c>
      <c r="AB28" s="160">
        <f t="shared" si="49"/>
        <v>1.5735982288576594E-5</v>
      </c>
      <c r="AC28" s="171" t="str">
        <f t="shared" si="50"/>
        <v>120,234764378518-8,48656115802631i</v>
      </c>
      <c r="AD28" s="190">
        <f t="shared" si="51"/>
        <v>41.622183948478629</v>
      </c>
      <c r="AE28" s="169">
        <f t="shared" si="52"/>
        <v>-4.0374267446196113</v>
      </c>
      <c r="AF28" s="98" t="str">
        <f t="shared" si="37"/>
        <v>-0,0000375877424711299</v>
      </c>
      <c r="AG28" s="98" t="str">
        <f t="shared" si="38"/>
        <v>8,01289245167299E-08i</v>
      </c>
      <c r="AH28" s="98">
        <f t="shared" si="53"/>
        <v>8.01289245167299E-8</v>
      </c>
      <c r="AI28" s="98">
        <f t="shared" si="54"/>
        <v>1.5707963267948966</v>
      </c>
      <c r="AJ28" s="98" t="str">
        <f t="shared" si="39"/>
        <v>1+0,0000730880326219746i</v>
      </c>
      <c r="AK28" s="98">
        <f t="shared" si="55"/>
        <v>1.0000000026709301</v>
      </c>
      <c r="AL28" s="98">
        <f t="shared" si="56"/>
        <v>7.3088032491832577E-5</v>
      </c>
      <c r="AM28" s="98" t="str">
        <f t="shared" si="40"/>
        <v>1+0,00569524438815849i</v>
      </c>
      <c r="AN28" s="98">
        <f t="shared" si="57"/>
        <v>1.0000162177728122</v>
      </c>
      <c r="AO28" s="98">
        <f t="shared" si="58"/>
        <v>5.6951828127377894E-3</v>
      </c>
      <c r="AP28" s="168" t="str">
        <f t="shared" si="59"/>
        <v>-2,63730189029739+469,091007312217i</v>
      </c>
      <c r="AQ28" s="98">
        <f t="shared" si="60"/>
        <v>53.425279420392265</v>
      </c>
      <c r="AR28" s="169">
        <f t="shared" si="61"/>
        <v>90.322122302930623</v>
      </c>
      <c r="AS28" s="168" t="str">
        <f t="shared" si="62"/>
        <v>3663,87415086037+56423,4283600503i</v>
      </c>
      <c r="AT28" s="190">
        <f t="shared" si="63"/>
        <v>95.047463368870893</v>
      </c>
      <c r="AU28" s="169">
        <f t="shared" si="64"/>
        <v>86.284695558311014</v>
      </c>
      <c r="AV28" s="225"/>
      <c r="AX28">
        <f t="shared" si="65"/>
        <v>0</v>
      </c>
      <c r="AY28">
        <f t="shared" si="66"/>
        <v>0</v>
      </c>
    </row>
    <row r="29" spans="1:51" x14ac:dyDescent="0.25">
      <c r="A29" s="98" t="s">
        <v>144</v>
      </c>
      <c r="B29" s="207">
        <f>Isl</f>
        <v>2.9999999999999997E-5</v>
      </c>
      <c r="C29" s="206" t="s">
        <v>11</v>
      </c>
      <c r="E29" s="98" t="s">
        <v>213</v>
      </c>
      <c r="N29" s="170">
        <v>11</v>
      </c>
      <c r="O29" s="199">
        <f t="shared" si="41"/>
        <v>12.882495516931346</v>
      </c>
      <c r="P29" s="189" t="str">
        <f t="shared" si="32"/>
        <v>120,833333333333</v>
      </c>
      <c r="Q29" s="160" t="str">
        <f t="shared" si="33"/>
        <v>1+0,0721742700086796i</v>
      </c>
      <c r="R29" s="160">
        <f t="shared" si="42"/>
        <v>1.0026011795580962</v>
      </c>
      <c r="S29" s="160">
        <f t="shared" si="43"/>
        <v>7.2049338642587071E-2</v>
      </c>
      <c r="T29" s="160" t="str">
        <f t="shared" si="34"/>
        <v>1+4,85658639310738E-06i</v>
      </c>
      <c r="U29" s="160">
        <f t="shared" si="44"/>
        <v>1.0000000000117932</v>
      </c>
      <c r="V29" s="160">
        <f t="shared" si="45"/>
        <v>4.856586393069197E-6</v>
      </c>
      <c r="W29" s="98" t="str">
        <f t="shared" si="35"/>
        <v>1-0,0000415723795249992i</v>
      </c>
      <c r="X29" s="160">
        <f t="shared" si="46"/>
        <v>1.0000000008641312</v>
      </c>
      <c r="Y29" s="160">
        <f t="shared" si="47"/>
        <v>-4.1572379501049863E-5</v>
      </c>
      <c r="Z29" s="98" t="str">
        <f t="shared" si="36"/>
        <v>0,999999999862844+0,0000161025204017744i</v>
      </c>
      <c r="AA29" s="160">
        <f t="shared" si="48"/>
        <v>0.99999999999248967</v>
      </c>
      <c r="AB29" s="160">
        <f t="shared" si="49"/>
        <v>1.6102520402591211E-5</v>
      </c>
      <c r="AC29" s="171" t="str">
        <f t="shared" si="50"/>
        <v>120,206700879053-8,68221309898257i</v>
      </c>
      <c r="AD29" s="190">
        <f t="shared" si="51"/>
        <v>41.621170906943462</v>
      </c>
      <c r="AE29" s="169">
        <f t="shared" si="52"/>
        <v>-4.1311492873742344</v>
      </c>
      <c r="AF29" s="98" t="str">
        <f t="shared" si="37"/>
        <v>-0,0000375877424711299</v>
      </c>
      <c r="AG29" s="98" t="str">
        <f t="shared" si="38"/>
        <v>8,19953669369632E-08i</v>
      </c>
      <c r="AH29" s="98">
        <f t="shared" si="53"/>
        <v>8.1995366936963195E-8</v>
      </c>
      <c r="AI29" s="98">
        <f t="shared" si="54"/>
        <v>1.5707963267948966</v>
      </c>
      <c r="AJ29" s="98" t="str">
        <f t="shared" si="39"/>
        <v>1+0,0000747904716016537i</v>
      </c>
      <c r="AK29" s="98">
        <f t="shared" si="55"/>
        <v>1.0000000027968072</v>
      </c>
      <c r="AL29" s="98">
        <f t="shared" si="56"/>
        <v>7.4790471462204015E-5</v>
      </c>
      <c r="AM29" s="98" t="str">
        <f t="shared" si="40"/>
        <v>1+0,00582790367172887i</v>
      </c>
      <c r="AN29" s="98">
        <f t="shared" si="57"/>
        <v>1.0000169820864078</v>
      </c>
      <c r="AO29" s="98">
        <f t="shared" si="58"/>
        <v>5.8278376925373744E-3</v>
      </c>
      <c r="AP29" s="168" t="str">
        <f t="shared" si="59"/>
        <v>-2,63730188963344+458,41320123864i</v>
      </c>
      <c r="AQ29" s="98">
        <f t="shared" si="60"/>
        <v>53.225286057932202</v>
      </c>
      <c r="AR29" s="169">
        <f t="shared" si="61"/>
        <v>90.329625325107074</v>
      </c>
      <c r="AS29" s="168" t="str">
        <f t="shared" si="62"/>
        <v>3663,01974116573+55127,2361773145i</v>
      </c>
      <c r="AT29" s="190">
        <f t="shared" si="63"/>
        <v>94.846456964875671</v>
      </c>
      <c r="AU29" s="169">
        <f t="shared" si="64"/>
        <v>86.198476037732846</v>
      </c>
      <c r="AV29" s="225"/>
      <c r="AX29">
        <f t="shared" si="65"/>
        <v>0</v>
      </c>
      <c r="AY29">
        <f t="shared" si="66"/>
        <v>0</v>
      </c>
    </row>
    <row r="30" spans="1:51" x14ac:dyDescent="0.25">
      <c r="C30" s="206"/>
      <c r="N30" s="170">
        <v>12</v>
      </c>
      <c r="O30" s="199">
        <f t="shared" si="41"/>
        <v>13.182567385564075</v>
      </c>
      <c r="P30" s="189" t="str">
        <f t="shared" si="32"/>
        <v>120,833333333333</v>
      </c>
      <c r="Q30" s="160" t="str">
        <f t="shared" si="33"/>
        <v>1+0,0738554247228608i</v>
      </c>
      <c r="R30" s="160">
        <f t="shared" si="42"/>
        <v>1.002723602874189</v>
      </c>
      <c r="S30" s="160">
        <f t="shared" si="43"/>
        <v>7.3721577982520894E-2</v>
      </c>
      <c r="T30" s="160" t="str">
        <f t="shared" si="34"/>
        <v>1+4,96971082247285E-06i</v>
      </c>
      <c r="U30" s="160">
        <f t="shared" si="44"/>
        <v>1.000000000012349</v>
      </c>
      <c r="V30" s="160">
        <f t="shared" si="45"/>
        <v>4.9697108224319357E-6</v>
      </c>
      <c r="W30" s="98" t="str">
        <f t="shared" si="35"/>
        <v>1-0,0000425407246403676i</v>
      </c>
      <c r="X30" s="160">
        <f t="shared" si="46"/>
        <v>1.0000000009048566</v>
      </c>
      <c r="Y30" s="160">
        <f t="shared" si="47"/>
        <v>-4.2540724614705427E-5</v>
      </c>
      <c r="Z30" s="98" t="str">
        <f t="shared" si="36"/>
        <v>0,99999999985638+0,0000164775962851936i</v>
      </c>
      <c r="AA30" s="160">
        <f t="shared" si="48"/>
        <v>0.99999999999213562</v>
      </c>
      <c r="AB30" s="160">
        <f t="shared" si="49"/>
        <v>1.6477596286068829E-5</v>
      </c>
      <c r="AC30" s="171" t="str">
        <f t="shared" si="50"/>
        <v>120,177328814881-8,8822785354026i</v>
      </c>
      <c r="AD30" s="190">
        <f t="shared" si="51"/>
        <v>41.620110375441833</v>
      </c>
      <c r="AE30" s="169">
        <f t="shared" si="52"/>
        <v>-4.2270320346890609</v>
      </c>
      <c r="AF30" s="98" t="str">
        <f t="shared" si="37"/>
        <v>-0,0000375877424711299</v>
      </c>
      <c r="AG30" s="98" t="str">
        <f t="shared" si="38"/>
        <v>8,39052843860835E-08i</v>
      </c>
      <c r="AH30" s="98">
        <f t="shared" si="53"/>
        <v>8.3905284386083501E-8</v>
      </c>
      <c r="AI30" s="98">
        <f t="shared" si="54"/>
        <v>1.5707963267948966</v>
      </c>
      <c r="AJ30" s="98" t="str">
        <f t="shared" si="39"/>
        <v>1+0,0000765325654793449i</v>
      </c>
      <c r="AK30" s="98">
        <f t="shared" si="55"/>
        <v>1.0000000029286167</v>
      </c>
      <c r="AL30" s="98">
        <f t="shared" si="56"/>
        <v>7.6532565329921865E-5</v>
      </c>
      <c r="AM30" s="98" t="str">
        <f t="shared" si="40"/>
        <v>1+0,00596365298696743i</v>
      </c>
      <c r="AN30" s="98">
        <f t="shared" si="57"/>
        <v>1.0000177824203673</v>
      </c>
      <c r="AO30" s="98">
        <f t="shared" si="58"/>
        <v>5.9635822890578968E-3</v>
      </c>
      <c r="AP30" s="168" t="str">
        <f t="shared" si="59"/>
        <v>-2,63730188893819+447,97845191218i</v>
      </c>
      <c r="AQ30" s="98">
        <f t="shared" si="60"/>
        <v>53.025293008278965</v>
      </c>
      <c r="AR30" s="169">
        <f t="shared" si="61"/>
        <v>90.337303102953271</v>
      </c>
      <c r="AS30" s="168" t="str">
        <f t="shared" si="62"/>
        <v>3662,12549145141+53860,2789673909i</v>
      </c>
      <c r="AT30" s="190">
        <f t="shared" si="63"/>
        <v>94.645403383720804</v>
      </c>
      <c r="AU30" s="169">
        <f t="shared" si="64"/>
        <v>86.110271068264211</v>
      </c>
      <c r="AV30" s="225"/>
      <c r="AX30">
        <f t="shared" si="65"/>
        <v>0</v>
      </c>
      <c r="AY30">
        <f t="shared" si="66"/>
        <v>0</v>
      </c>
    </row>
    <row r="31" spans="1:51" x14ac:dyDescent="0.25">
      <c r="A31" s="98" t="s">
        <v>236</v>
      </c>
      <c r="B31" s="207">
        <f>Gcomp</f>
        <v>0.14499999999999999</v>
      </c>
      <c r="C31" s="206"/>
      <c r="E31" s="98" t="s">
        <v>237</v>
      </c>
      <c r="N31" s="170">
        <v>13</v>
      </c>
      <c r="O31" s="199">
        <f t="shared" si="41"/>
        <v>13.489628825916535</v>
      </c>
      <c r="P31" s="189" t="str">
        <f t="shared" si="32"/>
        <v>120,833333333333</v>
      </c>
      <c r="Q31" s="160" t="str">
        <f t="shared" si="33"/>
        <v>1+0,0755757385608222i</v>
      </c>
      <c r="R31" s="160">
        <f t="shared" si="42"/>
        <v>1.0028517798054775</v>
      </c>
      <c r="S31" s="160">
        <f t="shared" si="43"/>
        <v>7.5432341212250162E-2</v>
      </c>
      <c r="T31" s="160" t="str">
        <f t="shared" si="34"/>
        <v>1+5,08547025829829E-06i</v>
      </c>
      <c r="U31" s="160">
        <f t="shared" si="44"/>
        <v>1.000000000012931</v>
      </c>
      <c r="V31" s="160">
        <f t="shared" si="45"/>
        <v>5.0854702582544497E-6</v>
      </c>
      <c r="W31" s="98" t="str">
        <f t="shared" si="35"/>
        <v>1-0,0000435316254110334i</v>
      </c>
      <c r="X31" s="160">
        <f t="shared" si="46"/>
        <v>1.0000000009475012</v>
      </c>
      <c r="Y31" s="160">
        <f t="shared" si="47"/>
        <v>-4.3531625383535892E-5</v>
      </c>
      <c r="Z31" s="98" t="str">
        <f t="shared" si="36"/>
        <v>0,999999999849612+0,00001686140880827i</v>
      </c>
      <c r="AA31" s="160">
        <f t="shared" si="48"/>
        <v>0.99999999999176536</v>
      </c>
      <c r="AB31" s="160">
        <f t="shared" si="49"/>
        <v>1.6861408809207816E-5</v>
      </c>
      <c r="AC31" s="171" t="str">
        <f t="shared" si="50"/>
        <v>120,146587857301-9,08685011019006i</v>
      </c>
      <c r="AD31" s="190">
        <f t="shared" si="51"/>
        <v>41.619000140134091</v>
      </c>
      <c r="AE31" s="169">
        <f t="shared" si="52"/>
        <v>-4.3251236802412771</v>
      </c>
      <c r="AF31" s="98" t="str">
        <f t="shared" si="37"/>
        <v>-0,0000375877424711299</v>
      </c>
      <c r="AG31" s="98" t="str">
        <f t="shared" si="38"/>
        <v>8,5859689527603E-08i</v>
      </c>
      <c r="AH31" s="98">
        <f t="shared" si="53"/>
        <v>8.5859689527603005E-8</v>
      </c>
      <c r="AI31" s="98">
        <f t="shared" si="54"/>
        <v>1.5707963267948966</v>
      </c>
      <c r="AJ31" s="98" t="str">
        <f t="shared" si="39"/>
        <v>1+0,0000783152379362816i</v>
      </c>
      <c r="AK31" s="98">
        <f t="shared" si="55"/>
        <v>1.0000000030666383</v>
      </c>
      <c r="AL31" s="98">
        <f t="shared" si="56"/>
        <v>7.8315237776171933E-5</v>
      </c>
      <c r="AM31" s="98" t="str">
        <f t="shared" si="40"/>
        <v>1+0,00610256430995796i</v>
      </c>
      <c r="AN31" s="98">
        <f t="shared" si="57"/>
        <v>1.0000186204722175</v>
      </c>
      <c r="AO31" s="98">
        <f t="shared" si="58"/>
        <v>6.1024885558592368E-3</v>
      </c>
      <c r="AP31" s="168" t="str">
        <f t="shared" si="59"/>
        <v>-2,63730188821019+437,781226690617i</v>
      </c>
      <c r="AQ31" s="98">
        <f t="shared" si="60"/>
        <v>52.825300286173501</v>
      </c>
      <c r="AR31" s="169">
        <f t="shared" si="61"/>
        <v>90.345159706181477</v>
      </c>
      <c r="AS31" s="168" t="str">
        <f t="shared" si="62"/>
        <v>3661,1895649747+52621,8853818147i</v>
      </c>
      <c r="AT31" s="190">
        <f t="shared" si="63"/>
        <v>94.444300426307592</v>
      </c>
      <c r="AU31" s="169">
        <f t="shared" si="64"/>
        <v>86.0200360259402</v>
      </c>
      <c r="AV31" s="225"/>
      <c r="AX31">
        <f t="shared" si="65"/>
        <v>0</v>
      </c>
      <c r="AY31">
        <f t="shared" si="66"/>
        <v>0</v>
      </c>
    </row>
    <row r="32" spans="1:51" x14ac:dyDescent="0.25">
      <c r="N32" s="170">
        <v>14</v>
      </c>
      <c r="O32" s="199">
        <f t="shared" si="41"/>
        <v>13.803842646028857</v>
      </c>
      <c r="P32" s="189" t="str">
        <f t="shared" si="32"/>
        <v>120,833333333333</v>
      </c>
      <c r="Q32" s="160" t="str">
        <f t="shared" si="33"/>
        <v>1+0,0773361236557318i</v>
      </c>
      <c r="R32" s="160">
        <f t="shared" si="42"/>
        <v>1.0029859799728482</v>
      </c>
      <c r="S32" s="160">
        <f t="shared" si="43"/>
        <v>7.7182495323384642E-2</v>
      </c>
      <c r="T32" s="160" t="str">
        <f t="shared" si="34"/>
        <v>1+5,20392607776884E-06i</v>
      </c>
      <c r="U32" s="160">
        <f t="shared" si="44"/>
        <v>1.0000000000135403</v>
      </c>
      <c r="V32" s="160">
        <f t="shared" si="45"/>
        <v>5.2039260777218642E-6</v>
      </c>
      <c r="W32" s="98" t="str">
        <f t="shared" si="35"/>
        <v>1-0,0000445456072257013i</v>
      </c>
      <c r="X32" s="160">
        <f t="shared" si="46"/>
        <v>1.0000000009921555</v>
      </c>
      <c r="Y32" s="160">
        <f t="shared" si="47"/>
        <v>-4.4545607196237186E-5</v>
      </c>
      <c r="Z32" s="98" t="str">
        <f t="shared" si="36"/>
        <v>0,999999999842524+0,0000172541614734837i</v>
      </c>
      <c r="AA32" s="160">
        <f t="shared" si="48"/>
        <v>0.9999999999913769</v>
      </c>
      <c r="AB32" s="160">
        <f t="shared" si="49"/>
        <v>1.7254161474488594E-5</v>
      </c>
      <c r="AC32" s="171" t="str">
        <f t="shared" si="50"/>
        <v>120,114414962232-9,29602191267167i</v>
      </c>
      <c r="AD32" s="190">
        <f t="shared" si="51"/>
        <v>41.6178378851695</v>
      </c>
      <c r="AE32" s="169">
        <f t="shared" si="52"/>
        <v>-4.425473937236724</v>
      </c>
      <c r="AF32" s="98" t="str">
        <f t="shared" si="37"/>
        <v>-0,0000375877424711299</v>
      </c>
      <c r="AG32" s="98" t="str">
        <f t="shared" si="38"/>
        <v>8,78596186129974E-08i</v>
      </c>
      <c r="AH32" s="98">
        <f t="shared" si="53"/>
        <v>8.7859618612997398E-8</v>
      </c>
      <c r="AI32" s="98">
        <f t="shared" si="54"/>
        <v>1.5707963267948966</v>
      </c>
      <c r="AJ32" s="98" t="str">
        <f t="shared" si="39"/>
        <v>1+0,0000801394341689969i</v>
      </c>
      <c r="AK32" s="98">
        <f t="shared" si="55"/>
        <v>1.0000000032111644</v>
      </c>
      <c r="AL32" s="98">
        <f t="shared" si="56"/>
        <v>8.0139433997436296E-5</v>
      </c>
      <c r="AM32" s="98" t="str">
        <f t="shared" si="40"/>
        <v>1+0,00624471129332262i</v>
      </c>
      <c r="AN32" s="98">
        <f t="shared" si="57"/>
        <v>1.0000194980194821</v>
      </c>
      <c r="AO32" s="98">
        <f t="shared" si="58"/>
        <v>6.2446301214288645E-3</v>
      </c>
      <c r="AP32" s="168" t="str">
        <f t="shared" si="59"/>
        <v>-2,63730188744787+427,816118870168i</v>
      </c>
      <c r="AQ32" s="98">
        <f t="shared" si="60"/>
        <v>52.625307907051628</v>
      </c>
      <c r="AR32" s="169">
        <f t="shared" si="61"/>
        <v>90.353199299237517</v>
      </c>
      <c r="AS32" s="168" t="str">
        <f t="shared" si="62"/>
        <v>3660,21004232164+51411,399245639i</v>
      </c>
      <c r="AT32" s="190">
        <f t="shared" si="63"/>
        <v>94.243145792221128</v>
      </c>
      <c r="AU32" s="169">
        <f t="shared" si="64"/>
        <v>85.9277253620008</v>
      </c>
      <c r="AV32" s="225"/>
      <c r="AX32">
        <f t="shared" si="65"/>
        <v>0</v>
      </c>
      <c r="AY32">
        <f t="shared" si="66"/>
        <v>0</v>
      </c>
    </row>
    <row r="33" spans="1:51" x14ac:dyDescent="0.25">
      <c r="N33" s="170">
        <v>15</v>
      </c>
      <c r="O33" s="199">
        <f t="shared" si="41"/>
        <v>14.125375446227544</v>
      </c>
      <c r="P33" s="189" t="str">
        <f t="shared" si="32"/>
        <v>120,833333333333</v>
      </c>
      <c r="Q33" s="160" t="str">
        <f t="shared" si="33"/>
        <v>1+0,0791375133870681i</v>
      </c>
      <c r="R33" s="160">
        <f t="shared" si="42"/>
        <v>1.0031264855565765</v>
      </c>
      <c r="S33" s="160">
        <f t="shared" si="43"/>
        <v>7.8972925360490775E-2</v>
      </c>
      <c r="T33" s="160" t="str">
        <f t="shared" si="34"/>
        <v>1+5,32514108772792E-06i</v>
      </c>
      <c r="U33" s="160">
        <f t="shared" si="44"/>
        <v>1.0000000000141784</v>
      </c>
      <c r="V33" s="160">
        <f t="shared" si="45"/>
        <v>5.3251410876775854E-6</v>
      </c>
      <c r="W33" s="98" t="str">
        <f t="shared" si="35"/>
        <v>1-0,000045583207710951i</v>
      </c>
      <c r="X33" s="160">
        <f t="shared" si="46"/>
        <v>1.0000000010389143</v>
      </c>
      <c r="Y33" s="160">
        <f t="shared" si="47"/>
        <v>-4.5583207679379628E-5</v>
      </c>
      <c r="Z33" s="98" t="str">
        <f t="shared" si="36"/>
        <v>0,999999999835102+0,0000176560625234965i</v>
      </c>
      <c r="AA33" s="160">
        <f t="shared" si="48"/>
        <v>0.99999999999097022</v>
      </c>
      <c r="AB33" s="160">
        <f t="shared" si="49"/>
        <v>1.7656062524573269E-5</v>
      </c>
      <c r="AC33" s="171" t="str">
        <f t="shared" si="50"/>
        <v>120,080744254327-9,50988946322764i</v>
      </c>
      <c r="AD33" s="190">
        <f t="shared" si="51"/>
        <v>41.616621188099643</v>
      </c>
      <c r="AE33" s="169">
        <f t="shared" si="52"/>
        <v>-4.5281335541303234</v>
      </c>
      <c r="AF33" s="98" t="str">
        <f t="shared" si="37"/>
        <v>-0,0000375877424711299</v>
      </c>
      <c r="AG33" s="98" t="str">
        <f t="shared" si="38"/>
        <v>8,99061320311399E-08i</v>
      </c>
      <c r="AH33" s="98">
        <f t="shared" si="53"/>
        <v>8.9906132031139896E-8</v>
      </c>
      <c r="AI33" s="98">
        <f t="shared" si="54"/>
        <v>1.5707963267948966</v>
      </c>
      <c r="AJ33" s="98" t="str">
        <f t="shared" si="39"/>
        <v>1+0,0000820061213904793i</v>
      </c>
      <c r="AK33" s="98">
        <f t="shared" si="55"/>
        <v>1.0000000033625018</v>
      </c>
      <c r="AL33" s="98">
        <f t="shared" si="56"/>
        <v>8.2006121206648804E-5</v>
      </c>
      <c r="AM33" s="98" t="str">
        <f t="shared" si="40"/>
        <v>1+0,00639016930527351i</v>
      </c>
      <c r="AN33" s="98">
        <f t="shared" si="57"/>
        <v>1.0000204169234497</v>
      </c>
      <c r="AO33" s="98">
        <f t="shared" si="58"/>
        <v>6.3900823281182158E-3</v>
      </c>
      <c r="AP33" s="168" t="str">
        <f t="shared" si="59"/>
        <v>-2,63730188664962+418,077844818757i</v>
      </c>
      <c r="AQ33" s="98">
        <f t="shared" si="60"/>
        <v>52.425315887076273</v>
      </c>
      <c r="AR33" s="169">
        <f t="shared" si="61"/>
        <v>90.361426143502911</v>
      </c>
      <c r="AS33" s="168" t="str">
        <f t="shared" si="62"/>
        <v>3659,18491787859+50228,1792115046i</v>
      </c>
      <c r="AT33" s="190">
        <f t="shared" si="63"/>
        <v>94.041937075175923</v>
      </c>
      <c r="AU33" s="169">
        <f t="shared" si="64"/>
        <v>85.833292589372604</v>
      </c>
      <c r="AV33" s="225"/>
      <c r="AX33">
        <f t="shared" si="65"/>
        <v>0</v>
      </c>
      <c r="AY33">
        <f t="shared" si="66"/>
        <v>0</v>
      </c>
    </row>
    <row r="34" spans="1:51" x14ac:dyDescent="0.25">
      <c r="N34" s="170">
        <v>16</v>
      </c>
      <c r="O34" s="199">
        <f t="shared" si="41"/>
        <v>14.454397707459275</v>
      </c>
      <c r="P34" s="189" t="str">
        <f t="shared" si="32"/>
        <v>120,833333333333</v>
      </c>
      <c r="Q34" s="160" t="str">
        <f t="shared" si="33"/>
        <v>1+0,0809808628755112i</v>
      </c>
      <c r="R34" s="160">
        <f t="shared" si="42"/>
        <v>1.003273591874152</v>
      </c>
      <c r="S34" s="160">
        <f t="shared" si="43"/>
        <v>8.0804534691842442E-2</v>
      </c>
      <c r="T34" s="160" t="str">
        <f t="shared" si="34"/>
        <v>1+5,44917955797829E-06i</v>
      </c>
      <c r="U34" s="160">
        <f t="shared" si="44"/>
        <v>1.0000000000148468</v>
      </c>
      <c r="V34" s="160">
        <f t="shared" si="45"/>
        <v>5.4491795579243549E-6</v>
      </c>
      <c r="W34" s="98" t="str">
        <f t="shared" si="35"/>
        <v>1-0,0000466449770162942i</v>
      </c>
      <c r="X34" s="160">
        <f t="shared" si="46"/>
        <v>1.0000000010878769</v>
      </c>
      <c r="Y34" s="160">
        <f t="shared" si="47"/>
        <v>-4.6644976982464868E-5</v>
      </c>
      <c r="Z34" s="98" t="str">
        <f t="shared" si="36"/>
        <v>0,999999999827331+0,0000180673250515648i</v>
      </c>
      <c r="AA34" s="160">
        <f t="shared" si="48"/>
        <v>0.99999999999054512</v>
      </c>
      <c r="AB34" s="160">
        <f t="shared" si="49"/>
        <v>1.8067325052718569E-5</v>
      </c>
      <c r="AC34" s="171" t="str">
        <f t="shared" si="50"/>
        <v>120,045506906761-9,72854969427411i</v>
      </c>
      <c r="AD34" s="190">
        <f t="shared" si="51"/>
        <v>41.6153475150969</v>
      </c>
      <c r="AE34" s="169">
        <f t="shared" si="52"/>
        <v>-4.6331543301597398</v>
      </c>
      <c r="AF34" s="98" t="str">
        <f t="shared" si="37"/>
        <v>-0,0000375877424711299</v>
      </c>
      <c r="AG34" s="98" t="str">
        <f t="shared" si="38"/>
        <v>9,20003148705337E-08i</v>
      </c>
      <c r="AH34" s="98">
        <f t="shared" si="53"/>
        <v>9.2000314870533695E-8</v>
      </c>
      <c r="AI34" s="98">
        <f t="shared" si="54"/>
        <v>1.5707963267948966</v>
      </c>
      <c r="AJ34" s="98" t="str">
        <f t="shared" si="39"/>
        <v>1+0,0000839162893430023i</v>
      </c>
      <c r="AK34" s="98">
        <f t="shared" si="55"/>
        <v>1.0000000035209717</v>
      </c>
      <c r="AL34" s="98">
        <f t="shared" si="56"/>
        <v>8.3916289146024385E-5</v>
      </c>
      <c r="AM34" s="98" t="str">
        <f t="shared" si="40"/>
        <v>1+0,00653901546957396i</v>
      </c>
      <c r="AN34" s="98">
        <f t="shared" si="57"/>
        <v>1.0000213791331221</v>
      </c>
      <c r="AO34" s="98">
        <f t="shared" si="58"/>
        <v>6.538922271980557E-3</v>
      </c>
      <c r="AP34" s="168" t="str">
        <f t="shared" si="59"/>
        <v>-2,63730188581376+408,561241174581i</v>
      </c>
      <c r="AQ34" s="98">
        <f t="shared" si="60"/>
        <v>52.225324243172125</v>
      </c>
      <c r="AR34" s="169">
        <f t="shared" si="61"/>
        <v>90.369844599548117</v>
      </c>
      <c r="AS34" s="168" t="str">
        <f t="shared" si="62"/>
        <v>3658,11209617255+49071,598421713i</v>
      </c>
      <c r="AT34" s="190">
        <f t="shared" si="63"/>
        <v>93.840671758269025</v>
      </c>
      <c r="AU34" s="169">
        <f t="shared" si="64"/>
        <v>85.73669026938839</v>
      </c>
      <c r="AV34" s="225"/>
      <c r="AX34">
        <f t="shared" si="65"/>
        <v>0</v>
      </c>
      <c r="AY34">
        <f t="shared" si="66"/>
        <v>0</v>
      </c>
    </row>
    <row r="35" spans="1:51" x14ac:dyDescent="0.25">
      <c r="A35" s="98" t="s">
        <v>235</v>
      </c>
      <c r="B35" s="208">
        <f>IF(Dc_Mode_Loop="CCM",(Gcomp*(VIN_var/VOUT)*(VOUT/IOUT))/(2*R_cs*Acs),K35*K37)</f>
        <v>120.83333333333331</v>
      </c>
      <c r="C35" s="98" t="s">
        <v>180</v>
      </c>
      <c r="E35" s="98" t="s">
        <v>239</v>
      </c>
      <c r="J35" s="98" t="s">
        <v>546</v>
      </c>
      <c r="K35" s="98">
        <f>Fsw/((1+B45/B46)*B46)</f>
        <v>10.525308582910728</v>
      </c>
      <c r="N35" s="170">
        <v>17</v>
      </c>
      <c r="O35" s="199">
        <f t="shared" si="41"/>
        <v>14.791083881682074</v>
      </c>
      <c r="P35" s="189" t="str">
        <f t="shared" si="32"/>
        <v>120,833333333333</v>
      </c>
      <c r="Q35" s="160" t="str">
        <f t="shared" si="33"/>
        <v>1+0,0828671494893593i</v>
      </c>
      <c r="R35" s="160">
        <f t="shared" si="42"/>
        <v>1.0034276079839999</v>
      </c>
      <c r="S35" s="160">
        <f t="shared" si="43"/>
        <v>8.2678245276177897E-2</v>
      </c>
      <c r="T35" s="160" t="str">
        <f t="shared" si="34"/>
        <v>1+5,57610725535872E-06i</v>
      </c>
      <c r="U35" s="160">
        <f t="shared" si="44"/>
        <v>1.0000000000155465</v>
      </c>
      <c r="V35" s="160">
        <f t="shared" si="45"/>
        <v>5.5761072553009275E-6</v>
      </c>
      <c r="W35" s="98" t="str">
        <f t="shared" si="35"/>
        <v>1-0,0000477314781058707i</v>
      </c>
      <c r="X35" s="160">
        <f t="shared" si="46"/>
        <v>1.000000001139147</v>
      </c>
      <c r="Y35" s="160">
        <f t="shared" si="47"/>
        <v>-4.7731478069621916E-5</v>
      </c>
      <c r="Z35" s="98" t="str">
        <f t="shared" si="36"/>
        <v>0,999999999819193+0,0000184881671145247i</v>
      </c>
      <c r="AA35" s="160">
        <f t="shared" si="48"/>
        <v>0.99999999999009914</v>
      </c>
      <c r="AB35" s="160">
        <f t="shared" si="49"/>
        <v>1.8488167115760998E-5</v>
      </c>
      <c r="AC35" s="171" t="str">
        <f t="shared" si="50"/>
        <v>120,008631016589-9,95210092730228i</v>
      </c>
      <c r="AD35" s="190">
        <f t="shared" si="51"/>
        <v>41.614014215970485</v>
      </c>
      <c r="AE35" s="169">
        <f t="shared" si="52"/>
        <v>-4.7405891306505517</v>
      </c>
      <c r="AF35" s="98" t="str">
        <f t="shared" si="37"/>
        <v>-0,0000375877424711299</v>
      </c>
      <c r="AG35" s="98" t="str">
        <f t="shared" si="38"/>
        <v>9,414327749464E-08i</v>
      </c>
      <c r="AH35" s="98">
        <f t="shared" si="53"/>
        <v>9.4143277494640001E-8</v>
      </c>
      <c r="AI35" s="98">
        <f t="shared" si="54"/>
        <v>1.5707963267948966</v>
      </c>
      <c r="AJ35" s="98" t="str">
        <f t="shared" si="39"/>
        <v>1+0,0000858709508228984i</v>
      </c>
      <c r="AK35" s="98">
        <f t="shared" si="55"/>
        <v>1.0000000036869101</v>
      </c>
      <c r="AL35" s="98">
        <f t="shared" si="56"/>
        <v>8.5870950611832757E-5</v>
      </c>
      <c r="AM35" s="98" t="str">
        <f t="shared" si="40"/>
        <v>1+0,00669132870643048i</v>
      </c>
      <c r="AN35" s="98">
        <f t="shared" si="57"/>
        <v>1.0000223866893467</v>
      </c>
      <c r="AO35" s="98">
        <f t="shared" si="58"/>
        <v>6.6912288435306867E-3</v>
      </c>
      <c r="AP35" s="168" t="str">
        <f t="shared" si="59"/>
        <v>-2,6373018849385+399,26126210843i</v>
      </c>
      <c r="AQ35" s="98">
        <f t="shared" si="60"/>
        <v>52.025332993061554</v>
      </c>
      <c r="AR35" s="169">
        <f t="shared" si="61"/>
        <v>90.378459129437672</v>
      </c>
      <c r="AS35" s="168" t="str">
        <f t="shared" si="62"/>
        <v>3656,98938807625+47941,0441781229i</v>
      </c>
      <c r="AT35" s="190">
        <f t="shared" si="63"/>
        <v>93.639347209032039</v>
      </c>
      <c r="AU35" s="169">
        <f t="shared" si="64"/>
        <v>85.637869998787124</v>
      </c>
      <c r="AV35" s="225"/>
      <c r="AX35">
        <f t="shared" si="65"/>
        <v>0</v>
      </c>
      <c r="AY35">
        <f t="shared" si="66"/>
        <v>0</v>
      </c>
    </row>
    <row r="36" spans="1:51" x14ac:dyDescent="0.25">
      <c r="A36" s="98" t="s">
        <v>252</v>
      </c>
      <c r="B36" s="209">
        <f>IF(Dc_Mode_Loop="CCM",2/(Cout*(VOUT/IOUT)),(2*B20/B17-1)/(Cout*(VOUT/IOUT)*(B20/B17-1)))</f>
        <v>1121.4953271028039</v>
      </c>
      <c r="C36" s="98" t="s">
        <v>251</v>
      </c>
      <c r="E36" s="98" t="s">
        <v>242</v>
      </c>
      <c r="J36" s="98" t="s">
        <v>547</v>
      </c>
      <c r="K36" s="98">
        <f>(1+SQRT(1+2*(Dc_DCM_VIN_nom^2)/K38))/2</f>
        <v>3.5666666666666664</v>
      </c>
      <c r="N36" s="170">
        <v>18</v>
      </c>
      <c r="O36" s="199">
        <f t="shared" si="41"/>
        <v>15.135612484362087</v>
      </c>
      <c r="P36" s="189" t="str">
        <f t="shared" si="32"/>
        <v>120,833333333333</v>
      </c>
      <c r="Q36" s="160" t="str">
        <f t="shared" si="33"/>
        <v>1+0,0847973733627431i</v>
      </c>
      <c r="R36" s="160">
        <f t="shared" si="42"/>
        <v>1.0035888573161922</v>
      </c>
      <c r="S36" s="160">
        <f t="shared" si="43"/>
        <v>8.4594997924686235E-2</v>
      </c>
      <c r="T36" s="160" t="str">
        <f t="shared" si="34"/>
        <v>1+5,70599147861446E-06i</v>
      </c>
      <c r="U36" s="160">
        <f t="shared" si="44"/>
        <v>1.0000000000162792</v>
      </c>
      <c r="V36" s="160">
        <f t="shared" si="45"/>
        <v>5.7059914785525339E-6</v>
      </c>
      <c r="W36" s="98" t="str">
        <f t="shared" si="35"/>
        <v>1-0,0000488432870569398i</v>
      </c>
      <c r="X36" s="160">
        <f t="shared" si="46"/>
        <v>1.0000000011928334</v>
      </c>
      <c r="Y36" s="160">
        <f t="shared" si="47"/>
        <v>-4.8843287018098538E-5</v>
      </c>
      <c r="Z36" s="98" t="str">
        <f t="shared" si="36"/>
        <v>0,999999999810672+0,0000189188118484087i</v>
      </c>
      <c r="AA36" s="160">
        <f t="shared" si="48"/>
        <v>0.99999999998963285</v>
      </c>
      <c r="AB36" s="160">
        <f t="shared" si="49"/>
        <v>1.8918811849733413E-5</v>
      </c>
      <c r="AC36" s="171" t="str">
        <f t="shared" si="50"/>
        <v>119,970041475568-10,1806428456614i</v>
      </c>
      <c r="AD36" s="190">
        <f t="shared" si="51"/>
        <v>41.612618518971935</v>
      </c>
      <c r="AE36" s="169">
        <f t="shared" si="52"/>
        <v>-4.8504919020489039</v>
      </c>
      <c r="AF36" s="98" t="str">
        <f t="shared" si="37"/>
        <v>-0,0000375877424711299</v>
      </c>
      <c r="AG36" s="98" t="str">
        <f t="shared" si="38"/>
        <v>9,63361561306076E-08i</v>
      </c>
      <c r="AH36" s="98">
        <f t="shared" si="53"/>
        <v>9.6336156130607603E-8</v>
      </c>
      <c r="AI36" s="98">
        <f t="shared" si="54"/>
        <v>1.5707963267948966</v>
      </c>
      <c r="AJ36" s="98" t="str">
        <f t="shared" si="39"/>
        <v>1+0,0000878711422175572i</v>
      </c>
      <c r="AK36" s="98">
        <f t="shared" si="55"/>
        <v>1.0000000038606687</v>
      </c>
      <c r="AL36" s="98">
        <f t="shared" si="56"/>
        <v>8.7871141991396288E-5</v>
      </c>
      <c r="AM36" s="98" t="str">
        <f t="shared" si="40"/>
        <v>1+0,00684718977433736i</v>
      </c>
      <c r="AN36" s="98">
        <f t="shared" si="57"/>
        <v>1.0000234417291456</v>
      </c>
      <c r="AO36" s="98">
        <f t="shared" si="58"/>
        <v>6.8470827694478258E-3</v>
      </c>
      <c r="AP36" s="168" t="str">
        <f t="shared" si="59"/>
        <v>-2,63730188402199+390,172976648292i</v>
      </c>
      <c r="AQ36" s="98">
        <f t="shared" si="60"/>
        <v>51.825342155301577</v>
      </c>
      <c r="AR36" s="169">
        <f t="shared" si="61"/>
        <v>90.387274299089</v>
      </c>
      <c r="AS36" s="168" t="str">
        <f t="shared" si="62"/>
        <v>3655,81450687513+46835,9176196988i</v>
      </c>
      <c r="AT36" s="190">
        <f t="shared" si="63"/>
        <v>93.437960674273498</v>
      </c>
      <c r="AU36" s="169">
        <f t="shared" si="64"/>
        <v>85.536782397040113</v>
      </c>
      <c r="AV36" s="225"/>
      <c r="AX36">
        <f t="shared" si="65"/>
        <v>0</v>
      </c>
      <c r="AY36">
        <f t="shared" si="66"/>
        <v>0</v>
      </c>
    </row>
    <row r="37" spans="1:51" x14ac:dyDescent="0.25">
      <c r="B37" s="210">
        <f>wp_lf/(2*PI())</f>
        <v>178.49152496287331</v>
      </c>
      <c r="C37" s="98" t="s">
        <v>69</v>
      </c>
      <c r="J37" s="98" t="s">
        <v>548</v>
      </c>
      <c r="K37" s="98">
        <f>2*VOUT/Dc_DCM_VIN_nom*(K36-1)/(2*K36-1)</f>
        <v>35.112710865993428</v>
      </c>
      <c r="N37" s="170">
        <v>19</v>
      </c>
      <c r="O37" s="199">
        <f t="shared" si="41"/>
        <v>15.488166189124817</v>
      </c>
      <c r="P37" s="189" t="str">
        <f t="shared" si="32"/>
        <v>120,833333333333</v>
      </c>
      <c r="Q37" s="160" t="str">
        <f t="shared" si="33"/>
        <v>1+0,0867725579259097i</v>
      </c>
      <c r="R37" s="160">
        <f t="shared" si="42"/>
        <v>1.003757678331282</v>
      </c>
      <c r="S37" s="160">
        <f t="shared" si="43"/>
        <v>8.6555752557378532E-2</v>
      </c>
      <c r="T37" s="160" t="str">
        <f t="shared" si="34"/>
        <v>1+5,83890109407987E-06i</v>
      </c>
      <c r="U37" s="160">
        <f t="shared" si="44"/>
        <v>1.0000000000170464</v>
      </c>
      <c r="V37" s="160">
        <f t="shared" si="45"/>
        <v>5.8389010940135153E-6</v>
      </c>
      <c r="W37" s="98" t="str">
        <f t="shared" si="35"/>
        <v>1-0,0000499809933653237i</v>
      </c>
      <c r="X37" s="160">
        <f t="shared" si="46"/>
        <v>1.0000000012490498</v>
      </c>
      <c r="Y37" s="160">
        <f t="shared" si="47"/>
        <v>-4.9980993323704533E-5</v>
      </c>
      <c r="Z37" s="98" t="str">
        <f t="shared" si="36"/>
        <v>0,999999999801749+0,0000193594875867547i</v>
      </c>
      <c r="AA37" s="160">
        <f t="shared" si="48"/>
        <v>0.99999999998914402</v>
      </c>
      <c r="AB37" s="160">
        <f t="shared" si="49"/>
        <v>1.9359487588174157E-5</v>
      </c>
      <c r="AC37" s="171" t="str">
        <f t="shared" si="50"/>
        <v>119,929659836383-10,4142764627532i</v>
      </c>
      <c r="AD37" s="190">
        <f t="shared" si="51"/>
        <v>41.611157525384577</v>
      </c>
      <c r="AE37" s="169">
        <f t="shared" si="52"/>
        <v>-4.9629176866324691</v>
      </c>
      <c r="AF37" s="98" t="str">
        <f t="shared" si="37"/>
        <v>-0,0000375877424711299</v>
      </c>
      <c r="AG37" s="98" t="str">
        <f t="shared" si="38"/>
        <v>9,85801134717153E-08i</v>
      </c>
      <c r="AH37" s="98">
        <f t="shared" si="53"/>
        <v>9.8580113471715295E-8</v>
      </c>
      <c r="AI37" s="98">
        <f t="shared" si="54"/>
        <v>1.5707963267948966</v>
      </c>
      <c r="AJ37" s="98" t="str">
        <f t="shared" si="39"/>
        <v>1+0,0000899179240549318i</v>
      </c>
      <c r="AK37" s="98">
        <f t="shared" si="55"/>
        <v>1.0000000040426165</v>
      </c>
      <c r="AL37" s="98">
        <f t="shared" si="56"/>
        <v>8.9917923812596014E-5</v>
      </c>
      <c r="AM37" s="98" t="str">
        <f t="shared" si="40"/>
        <v>1+0,00700668131289585i</v>
      </c>
      <c r="AN37" s="98">
        <f t="shared" si="57"/>
        <v>1.0000245464902451</v>
      </c>
      <c r="AO37" s="98">
        <f t="shared" si="58"/>
        <v>7.0065666552429594E-3</v>
      </c>
      <c r="AP37" s="168" t="str">
        <f t="shared" si="59"/>
        <v>-2,63730188306228+381,291566064922i</v>
      </c>
      <c r="AQ37" s="98">
        <f t="shared" si="60"/>
        <v>51.625351749323912</v>
      </c>
      <c r="AR37" s="169">
        <f t="shared" si="61"/>
        <v>90.396294780685466</v>
      </c>
      <c r="AS37" s="168" t="str">
        <f t="shared" si="62"/>
        <v>3654,58506419471+45755,6334075738i</v>
      </c>
      <c r="AT37" s="190">
        <f t="shared" si="63"/>
        <v>93.236509274708496</v>
      </c>
      <c r="AU37" s="169">
        <f t="shared" si="64"/>
        <v>85.433377094053014</v>
      </c>
      <c r="AV37" s="225"/>
      <c r="AX37">
        <f t="shared" si="65"/>
        <v>0</v>
      </c>
      <c r="AY37">
        <f t="shared" si="66"/>
        <v>0</v>
      </c>
    </row>
    <row r="38" spans="1:51" x14ac:dyDescent="0.25">
      <c r="B38" s="211"/>
      <c r="C38" s="98" t="s">
        <v>275</v>
      </c>
      <c r="E38" s="98" t="s">
        <v>274</v>
      </c>
      <c r="J38" s="98" t="s">
        <v>549</v>
      </c>
      <c r="K38" s="98">
        <f>(Lm*Fsw/(VOUT/IOUT))</f>
        <v>8.8822429906542072E-2</v>
      </c>
      <c r="N38" s="170">
        <v>20</v>
      </c>
      <c r="O38" s="199">
        <f t="shared" si="41"/>
        <v>15.848931924611136</v>
      </c>
      <c r="P38" s="189" t="str">
        <f t="shared" si="32"/>
        <v>120,833333333333</v>
      </c>
      <c r="Q38" s="160" t="str">
        <f t="shared" si="33"/>
        <v>1+0,0887937504478592i</v>
      </c>
      <c r="R38" s="160">
        <f t="shared" si="42"/>
        <v>1.0039344252084379</v>
      </c>
      <c r="S38" s="160">
        <f t="shared" si="43"/>
        <v>8.8561488452938431E-2</v>
      </c>
      <c r="T38" s="160" t="str">
        <f t="shared" si="34"/>
        <v>1+5,97490657219236E-06i</v>
      </c>
      <c r="U38" s="160">
        <f t="shared" si="44"/>
        <v>1.0000000000178497</v>
      </c>
      <c r="V38" s="160">
        <f t="shared" si="45"/>
        <v>5.9749065721212594E-6</v>
      </c>
      <c r="W38" s="98" t="str">
        <f t="shared" si="35"/>
        <v>1-0,0000511452002579666i</v>
      </c>
      <c r="X38" s="160">
        <f t="shared" si="46"/>
        <v>1.0000000013079158</v>
      </c>
      <c r="Y38" s="160">
        <f t="shared" si="47"/>
        <v>-5.1145200213370858E-5</v>
      </c>
      <c r="Z38" s="98" t="str">
        <f t="shared" si="36"/>
        <v>0,999999999792406+0,0000198104279816723i</v>
      </c>
      <c r="AA38" s="160">
        <f t="shared" si="48"/>
        <v>0.99999999998863254</v>
      </c>
      <c r="AB38" s="160">
        <f t="shared" si="49"/>
        <v>1.9810427983193273E-5</v>
      </c>
      <c r="AC38" s="171" t="str">
        <f t="shared" si="50"/>
        <v>119,88740417415-10,6531040852824i</v>
      </c>
      <c r="AD38" s="190">
        <f t="shared" si="51"/>
        <v>41.609628203886146</v>
      </c>
      <c r="AE38" s="169">
        <f t="shared" si="52"/>
        <v>-5.077922636848756</v>
      </c>
      <c r="AF38" s="98" t="str">
        <f t="shared" si="37"/>
        <v>-0,0000375877424711299</v>
      </c>
      <c r="AG38" s="98" t="str">
        <f t="shared" si="38"/>
        <v>1,00876339293848E-07i</v>
      </c>
      <c r="AH38" s="98">
        <f t="shared" si="53"/>
        <v>1.0087633929384801E-7</v>
      </c>
      <c r="AI38" s="98">
        <f t="shared" si="54"/>
        <v>1.5707963267948966</v>
      </c>
      <c r="AJ38" s="98" t="str">
        <f t="shared" si="39"/>
        <v>1+0,0000920123815658448i</v>
      </c>
      <c r="AK38" s="98">
        <f t="shared" si="55"/>
        <v>1.0000000042331392</v>
      </c>
      <c r="AL38" s="98">
        <f t="shared" si="56"/>
        <v>9.2012381306177319E-5</v>
      </c>
      <c r="AM38" s="98" t="str">
        <f t="shared" si="40"/>
        <v>1+0,00716988788663084i</v>
      </c>
      <c r="AN38" s="98">
        <f t="shared" si="57"/>
        <v>1.0000257033158231</v>
      </c>
      <c r="AO38" s="98">
        <f t="shared" si="58"/>
        <v>7.1697650289128216E-3</v>
      </c>
      <c r="AP38" s="168" t="str">
        <f t="shared" si="59"/>
        <v>-2,63730188205735+372,612321316871i</v>
      </c>
      <c r="AQ38" s="98">
        <f t="shared" si="60"/>
        <v>51.425361795475901</v>
      </c>
      <c r="AR38" s="169">
        <f t="shared" si="61"/>
        <v>90.4055253551454</v>
      </c>
      <c r="AS38" s="168" t="str">
        <f t="shared" si="62"/>
        <v>3653,29856578386+44699,6194174378i</v>
      </c>
      <c r="AT38" s="190">
        <f t="shared" si="63"/>
        <v>93.03498999936204</v>
      </c>
      <c r="AU38" s="169">
        <f t="shared" si="64"/>
        <v>85.32760271829666</v>
      </c>
      <c r="AV38" s="225"/>
      <c r="AX38">
        <f t="shared" si="65"/>
        <v>0</v>
      </c>
      <c r="AY38">
        <f t="shared" si="66"/>
        <v>0</v>
      </c>
    </row>
    <row r="39" spans="1:51" x14ac:dyDescent="0.25">
      <c r="A39" s="98" t="s">
        <v>253</v>
      </c>
      <c r="B39" s="209">
        <f>((VOUT/IOUT)*((VIN_var/VOUT)^2))/(Lm)</f>
        <v>1947040.4984423672</v>
      </c>
      <c r="C39" s="98" t="s">
        <v>251</v>
      </c>
      <c r="E39" s="98" t="s">
        <v>243</v>
      </c>
      <c r="N39" s="170">
        <v>21</v>
      </c>
      <c r="O39" s="199">
        <f t="shared" si="41"/>
        <v>16.218100973589298</v>
      </c>
      <c r="P39" s="189" t="str">
        <f t="shared" si="32"/>
        <v>120,833333333333</v>
      </c>
      <c r="Q39" s="160" t="str">
        <f t="shared" si="33"/>
        <v>1+0,0908620225916201i</v>
      </c>
      <c r="R39" s="160">
        <f t="shared" si="42"/>
        <v>1.0041194685640948</v>
      </c>
      <c r="S39" s="160">
        <f t="shared" si="43"/>
        <v>9.0613204491074018E-2</v>
      </c>
      <c r="T39" s="160" t="str">
        <f t="shared" si="34"/>
        <v>1+6,11408002485665E-06i</v>
      </c>
      <c r="U39" s="160">
        <f t="shared" si="44"/>
        <v>1.0000000000186908</v>
      </c>
      <c r="V39" s="160">
        <f t="shared" si="45"/>
        <v>6.1140800247804646E-6</v>
      </c>
      <c r="W39" s="98" t="str">
        <f t="shared" si="35"/>
        <v>1-0,0000523365250127729i</v>
      </c>
      <c r="X39" s="160">
        <f t="shared" si="46"/>
        <v>1.0000000013695558</v>
      </c>
      <c r="Y39" s="160">
        <f t="shared" si="47"/>
        <v>-5.2336524964987701E-5</v>
      </c>
      <c r="Z39" s="98" t="str">
        <f t="shared" si="36"/>
        <v>0,999999999782622+0,0000202718721277278i</v>
      </c>
      <c r="AA39" s="160">
        <f t="shared" si="48"/>
        <v>0.9999999999880963</v>
      </c>
      <c r="AB39" s="160">
        <f t="shared" si="49"/>
        <v>2.0271872129357559E-5</v>
      </c>
      <c r="AC39" s="171" t="str">
        <f t="shared" si="50"/>
        <v>119,843188943161-10,8972292711898i</v>
      </c>
      <c r="AD39" s="190">
        <f t="shared" si="51"/>
        <v>41.60802738467963</v>
      </c>
      <c r="AE39" s="169">
        <f t="shared" si="52"/>
        <v>-5.1955640292240819</v>
      </c>
      <c r="AF39" s="98" t="str">
        <f t="shared" si="37"/>
        <v>-0,0000375877424711299</v>
      </c>
      <c r="AG39" s="98" t="str">
        <f t="shared" si="38"/>
        <v>1,0322605108633E-07i</v>
      </c>
      <c r="AH39" s="98">
        <f t="shared" si="53"/>
        <v>1.0322605108633E-7</v>
      </c>
      <c r="AI39" s="98">
        <f t="shared" si="54"/>
        <v>1.5707963267948966</v>
      </c>
      <c r="AJ39" s="98" t="str">
        <f t="shared" si="39"/>
        <v>1+0,0000941556252593916i</v>
      </c>
      <c r="AK39" s="98">
        <f t="shared" si="55"/>
        <v>1.0000000044326409</v>
      </c>
      <c r="AL39" s="98">
        <f t="shared" si="56"/>
        <v>9.4155624981152885E-5</v>
      </c>
      <c r="AM39" s="98" t="str">
        <f t="shared" si="40"/>
        <v>1+0,00733689602982799i</v>
      </c>
      <c r="AN39" s="98">
        <f t="shared" si="57"/>
        <v>1.0000269146594769</v>
      </c>
      <c r="AO39" s="98">
        <f t="shared" si="58"/>
        <v>7.336764385602693E-3</v>
      </c>
      <c r="AP39" s="168" t="str">
        <f t="shared" si="59"/>
        <v>-2,63730188100506+364,130640553691i</v>
      </c>
      <c r="AQ39" s="98">
        <f t="shared" si="60"/>
        <v>51.225372315063559</v>
      </c>
      <c r="AR39" s="169">
        <f t="shared" si="61"/>
        <v>90.41497091464808</v>
      </c>
      <c r="AS39" s="168" t="str">
        <f t="shared" si="62"/>
        <v>3651,95240715333+43667,3164391249i</v>
      </c>
      <c r="AT39" s="190">
        <f t="shared" si="63"/>
        <v>92.833399699743197</v>
      </c>
      <c r="AU39" s="169">
        <f t="shared" si="64"/>
        <v>85.219406885424021</v>
      </c>
      <c r="AV39" s="225"/>
      <c r="AX39">
        <f t="shared" si="65"/>
        <v>0</v>
      </c>
      <c r="AY39">
        <f t="shared" si="66"/>
        <v>0</v>
      </c>
    </row>
    <row r="40" spans="1:51" x14ac:dyDescent="0.25">
      <c r="B40" s="211">
        <f>wz_rhp/(2*PI())</f>
        <v>309881.11972721049</v>
      </c>
      <c r="C40" s="98" t="s">
        <v>69</v>
      </c>
      <c r="N40" s="170">
        <v>22</v>
      </c>
      <c r="O40" s="199">
        <f t="shared" si="41"/>
        <v>16.595869074375614</v>
      </c>
      <c r="P40" s="189" t="str">
        <f t="shared" si="32"/>
        <v>120,833333333333</v>
      </c>
      <c r="Q40" s="160" t="str">
        <f t="shared" si="33"/>
        <v>1+0,0929784709824607i</v>
      </c>
      <c r="R40" s="160">
        <f t="shared" si="42"/>
        <v>1.0043131962023781</v>
      </c>
      <c r="S40" s="160">
        <f t="shared" si="43"/>
        <v>9.2711919386323519E-2</v>
      </c>
      <c r="T40" s="160" t="str">
        <f t="shared" si="34"/>
        <v>1+6,25649524367957E-06i</v>
      </c>
      <c r="U40" s="160">
        <f t="shared" si="44"/>
        <v>1.0000000000195719</v>
      </c>
      <c r="V40" s="160">
        <f t="shared" si="45"/>
        <v>6.2564952435979357E-6</v>
      </c>
      <c r="W40" s="98" t="str">
        <f t="shared" si="35"/>
        <v>1-0,0000535555992858971i</v>
      </c>
      <c r="X40" s="160">
        <f t="shared" si="46"/>
        <v>1.0000000014341011</v>
      </c>
      <c r="Y40" s="160">
        <f t="shared" si="47"/>
        <v>-5.3555599234694341E-5</v>
      </c>
      <c r="Z40" s="98" t="str">
        <f t="shared" si="36"/>
        <v>0,999999999772378+0,0000207440646887155i</v>
      </c>
      <c r="AA40" s="160">
        <f t="shared" si="48"/>
        <v>0.99999999998753608</v>
      </c>
      <c r="AB40" s="160">
        <f t="shared" si="49"/>
        <v>2.0744064690461806E-5</v>
      </c>
      <c r="AC40" s="171" t="str">
        <f t="shared" si="50"/>
        <v>119,796924828779-11,1467567818687i</v>
      </c>
      <c r="AD40" s="190">
        <f t="shared" si="51"/>
        <v>41.606351753382562</v>
      </c>
      <c r="AE40" s="169">
        <f t="shared" si="52"/>
        <v>-5.3159002777835953</v>
      </c>
      <c r="AF40" s="98" t="str">
        <f t="shared" si="37"/>
        <v>-0,0000375877424711299</v>
      </c>
      <c r="AG40" s="98" t="str">
        <f t="shared" si="38"/>
        <v>1,05630494697457E-07i</v>
      </c>
      <c r="AH40" s="98">
        <f t="shared" si="53"/>
        <v>1.0563049469745701E-7</v>
      </c>
      <c r="AI40" s="98">
        <f t="shared" si="54"/>
        <v>1.5707963267948966</v>
      </c>
      <c r="AJ40" s="98" t="str">
        <f t="shared" si="39"/>
        <v>1+0,0000963487915117485i</v>
      </c>
      <c r="AK40" s="98">
        <f t="shared" si="55"/>
        <v>1.0000000046415447</v>
      </c>
      <c r="AL40" s="98">
        <f t="shared" si="56"/>
        <v>9.6348791213610342E-5</v>
      </c>
      <c r="AM40" s="98" t="str">
        <f t="shared" si="40"/>
        <v>1+0,00750779429241549i</v>
      </c>
      <c r="AN40" s="98">
        <f t="shared" si="57"/>
        <v>1.0000281830904254</v>
      </c>
      <c r="AO40" s="98">
        <f t="shared" si="58"/>
        <v>7.5076532333013665E-3</v>
      </c>
      <c r="AP40" s="168" t="str">
        <f t="shared" si="59"/>
        <v>-2,63730187990317+355,842026675969i</v>
      </c>
      <c r="AQ40" s="98">
        <f t="shared" si="60"/>
        <v>51.025383330396735</v>
      </c>
      <c r="AR40" s="169">
        <f t="shared" si="61"/>
        <v>90.424636465218171</v>
      </c>
      <c r="AS40" s="168" t="str">
        <f t="shared" si="62"/>
        <v>3650,5438690667+42658,1778832371i</v>
      </c>
      <c r="AT40" s="190">
        <f t="shared" si="63"/>
        <v>92.631735083779304</v>
      </c>
      <c r="AU40" s="169">
        <f t="shared" si="64"/>
        <v>85.108736187434602</v>
      </c>
      <c r="AV40" s="225"/>
      <c r="AX40">
        <f t="shared" si="65"/>
        <v>0</v>
      </c>
      <c r="AY40">
        <f t="shared" si="66"/>
        <v>0</v>
      </c>
    </row>
    <row r="41" spans="1:51" x14ac:dyDescent="0.25">
      <c r="B41" s="211"/>
      <c r="N41" s="170">
        <v>23</v>
      </c>
      <c r="O41" s="199">
        <f t="shared" si="41"/>
        <v>16.982436524617448</v>
      </c>
      <c r="P41" s="189" t="str">
        <f t="shared" si="32"/>
        <v>120,833333333333</v>
      </c>
      <c r="Q41" s="160" t="str">
        <f t="shared" si="33"/>
        <v>1+0,0951442177893312i</v>
      </c>
      <c r="R41" s="160">
        <f t="shared" si="42"/>
        <v>1.0045160138986056</v>
      </c>
      <c r="S41" s="160">
        <f t="shared" si="43"/>
        <v>9.4858671912179768E-2</v>
      </c>
      <c r="T41" s="160" t="str">
        <f t="shared" si="34"/>
        <v>1+6,40222773909515E-06i</v>
      </c>
      <c r="U41" s="160">
        <f t="shared" si="44"/>
        <v>1.0000000000204943</v>
      </c>
      <c r="V41" s="160">
        <f t="shared" si="45"/>
        <v>6.4022277390076777E-6</v>
      </c>
      <c r="W41" s="98" t="str">
        <f t="shared" si="35"/>
        <v>1-0,0000548030694466545i</v>
      </c>
      <c r="X41" s="160">
        <f t="shared" si="46"/>
        <v>1.0000000015016881</v>
      </c>
      <c r="Y41" s="160">
        <f t="shared" si="47"/>
        <v>-5.4803069391789749E-5</v>
      </c>
      <c r="Z41" s="98" t="str">
        <f t="shared" si="36"/>
        <v>0,99999999976165+0,0000212272560273811i</v>
      </c>
      <c r="AA41" s="160">
        <f t="shared" si="48"/>
        <v>0.99999999998694822</v>
      </c>
      <c r="AB41" s="160">
        <f t="shared" si="49"/>
        <v>2.1227256029252309E-5</v>
      </c>
      <c r="AC41" s="171" t="str">
        <f t="shared" si="50"/>
        <v>119,748518594441-11,4017925282419i</v>
      </c>
      <c r="AD41" s="190">
        <f t="shared" si="51"/>
        <v>41.604597844667587</v>
      </c>
      <c r="AE41" s="169">
        <f t="shared" si="52"/>
        <v>-5.4389909469167392</v>
      </c>
      <c r="AF41" s="98" t="str">
        <f t="shared" si="37"/>
        <v>-0,0000375877424711299</v>
      </c>
      <c r="AG41" s="98" t="str">
        <f t="shared" si="38"/>
        <v>1,08090944995057E-07i</v>
      </c>
      <c r="AH41" s="98">
        <f t="shared" si="53"/>
        <v>1.08090944995057E-7</v>
      </c>
      <c r="AI41" s="98">
        <f t="shared" si="54"/>
        <v>1.5707963267948966</v>
      </c>
      <c r="AJ41" s="98" t="str">
        <f t="shared" si="39"/>
        <v>1+0,0000985930431686913i</v>
      </c>
      <c r="AK41" s="98">
        <f t="shared" si="55"/>
        <v>1.0000000048602939</v>
      </c>
      <c r="AL41" s="98">
        <f t="shared" si="56"/>
        <v>9.8593042849230508E-5</v>
      </c>
      <c r="AM41" s="98" t="str">
        <f t="shared" si="40"/>
        <v>1+0,00768267328691419i</v>
      </c>
      <c r="AN41" s="98">
        <f t="shared" si="57"/>
        <v>1.0000295112989583</v>
      </c>
      <c r="AO41" s="98">
        <f t="shared" si="58"/>
        <v>7.6825221395911284E-3</v>
      </c>
      <c r="AP41" s="168" t="str">
        <f t="shared" si="59"/>
        <v>-2,63730187874935+347,742084950918i</v>
      </c>
      <c r="AQ41" s="98">
        <f t="shared" si="60"/>
        <v>50.825394864836646</v>
      </c>
      <c r="AR41" s="169">
        <f t="shared" si="61"/>
        <v>90.434527129369769</v>
      </c>
      <c r="AS41" s="168" t="str">
        <f t="shared" si="62"/>
        <v>3649,07011288207+41671,6694946705i</v>
      </c>
      <c r="AT41" s="190">
        <f t="shared" si="63"/>
        <v>92.429992709504219</v>
      </c>
      <c r="AU41" s="169">
        <f t="shared" si="64"/>
        <v>84.995536182453023</v>
      </c>
      <c r="AV41" s="225"/>
      <c r="AX41">
        <f t="shared" si="65"/>
        <v>0</v>
      </c>
      <c r="AY41">
        <f t="shared" si="66"/>
        <v>0</v>
      </c>
    </row>
    <row r="42" spans="1:51" x14ac:dyDescent="0.25">
      <c r="A42" s="98" t="s">
        <v>254</v>
      </c>
      <c r="B42" s="209">
        <f>1/(Cout*Resr)</f>
        <v>16666666.666666668</v>
      </c>
      <c r="C42" s="98" t="s">
        <v>251</v>
      </c>
      <c r="E42" s="98" t="s">
        <v>244</v>
      </c>
      <c r="N42" s="170">
        <v>24</v>
      </c>
      <c r="O42" s="199">
        <f t="shared" si="41"/>
        <v>17.378008287493756</v>
      </c>
      <c r="P42" s="189" t="str">
        <f t="shared" si="32"/>
        <v>120,833333333333</v>
      </c>
      <c r="Q42" s="160" t="str">
        <f t="shared" si="33"/>
        <v>1+0,0973604113198568i</v>
      </c>
      <c r="R42" s="160">
        <f t="shared" si="42"/>
        <v>1.004728346217211</v>
      </c>
      <c r="S42" s="160">
        <f t="shared" si="43"/>
        <v>9.7054521114334741E-2</v>
      </c>
      <c r="T42" s="160" t="str">
        <f t="shared" si="34"/>
        <v>1+6,55135478040155E-06i</v>
      </c>
      <c r="U42" s="160">
        <f t="shared" si="44"/>
        <v>1.0000000000214602</v>
      </c>
      <c r="V42" s="160">
        <f t="shared" si="45"/>
        <v>6.5513547803078215E-6</v>
      </c>
      <c r="W42" s="98" t="str">
        <f t="shared" si="35"/>
        <v>1-0,0000560795969202373i</v>
      </c>
      <c r="X42" s="160">
        <f t="shared" si="46"/>
        <v>1.0000000015724606</v>
      </c>
      <c r="Y42" s="160">
        <f t="shared" si="47"/>
        <v>-5.6079596861448662E-5</v>
      </c>
      <c r="Z42" s="98" t="str">
        <f t="shared" si="36"/>
        <v>0,999999999750417+0,0000217217023381686i</v>
      </c>
      <c r="AA42" s="160">
        <f t="shared" si="48"/>
        <v>0.99999999998633315</v>
      </c>
      <c r="AB42" s="160">
        <f t="shared" si="49"/>
        <v>2.1721702340173634E-5</v>
      </c>
      <c r="AC42" s="171" t="str">
        <f t="shared" si="50"/>
        <v>119,697872923722-11,6624435102563i</v>
      </c>
      <c r="AD42" s="190">
        <f t="shared" si="51"/>
        <v>41.602762035645917</v>
      </c>
      <c r="AE42" s="169">
        <f t="shared" si="52"/>
        <v>-5.564896763620589</v>
      </c>
      <c r="AF42" s="98" t="str">
        <f t="shared" si="37"/>
        <v>-0,0000375877424711299</v>
      </c>
      <c r="AG42" s="98" t="str">
        <f t="shared" si="38"/>
        <v>1,10608706542446E-07i</v>
      </c>
      <c r="AH42" s="98">
        <f t="shared" si="53"/>
        <v>1.10608706542446E-7</v>
      </c>
      <c r="AI42" s="98">
        <f t="shared" si="54"/>
        <v>1.5707963267948966</v>
      </c>
      <c r="AJ42" s="98" t="str">
        <f t="shared" si="39"/>
        <v>1+0,000100889570162156i</v>
      </c>
      <c r="AK42" s="98">
        <f t="shared" si="55"/>
        <v>1.0000000050893527</v>
      </c>
      <c r="AL42" s="98">
        <f t="shared" si="56"/>
        <v>1.008895698198476E-4</v>
      </c>
      <c r="AM42" s="98" t="str">
        <f t="shared" si="40"/>
        <v>1+0,00786162573648187i</v>
      </c>
      <c r="AN42" s="98">
        <f t="shared" si="57"/>
        <v>1.0000309021021403</v>
      </c>
      <c r="AO42" s="98">
        <f t="shared" si="58"/>
        <v>7.8614637794775701E-3</v>
      </c>
      <c r="AP42" s="168" t="str">
        <f t="shared" si="59"/>
        <v>-2,63730187754118+339,826520682219i</v>
      </c>
      <c r="AQ42" s="98">
        <f t="shared" si="60"/>
        <v>50.625406942845139</v>
      </c>
      <c r="AR42" s="169">
        <f t="shared" si="61"/>
        <v>90.444648148811453</v>
      </c>
      <c r="AS42" s="168" t="str">
        <f t="shared" si="62"/>
        <v>3647,52817574391+40707,2690728972i</v>
      </c>
      <c r="AT42" s="190">
        <f t="shared" si="63"/>
        <v>92.228168978491055</v>
      </c>
      <c r="AU42" s="169">
        <f t="shared" si="64"/>
        <v>84.879751385190872</v>
      </c>
      <c r="AV42" s="225"/>
      <c r="AX42">
        <f t="shared" si="65"/>
        <v>0</v>
      </c>
      <c r="AY42">
        <f t="shared" si="66"/>
        <v>0</v>
      </c>
    </row>
    <row r="43" spans="1:51" x14ac:dyDescent="0.25">
      <c r="B43" s="209">
        <f>wz_esr/(2*PI())</f>
        <v>2652582.3848649226</v>
      </c>
      <c r="C43" s="98" t="s">
        <v>69</v>
      </c>
      <c r="N43" s="170">
        <v>25</v>
      </c>
      <c r="O43" s="199">
        <f t="shared" si="41"/>
        <v>17.782794100389236</v>
      </c>
      <c r="P43" s="189" t="str">
        <f t="shared" si="32"/>
        <v>120,833333333333</v>
      </c>
      <c r="Q43" s="160" t="str">
        <f t="shared" si="33"/>
        <v>1+0,0996282266291808i</v>
      </c>
      <c r="R43" s="160">
        <f t="shared" si="42"/>
        <v>1.0049506373654755</v>
      </c>
      <c r="S43" s="160">
        <f t="shared" si="43"/>
        <v>9.9300546511729093E-2</v>
      </c>
      <c r="T43" s="160" t="str">
        <f t="shared" si="34"/>
        <v>1+6,70395543672989E-06i</v>
      </c>
      <c r="U43" s="160">
        <f t="shared" si="44"/>
        <v>1.0000000000224714</v>
      </c>
      <c r="V43" s="160">
        <f t="shared" si="45"/>
        <v>6.7039554366294584E-6</v>
      </c>
      <c r="W43" s="98" t="str">
        <f t="shared" si="35"/>
        <v>1-0,0000573858585384079i</v>
      </c>
      <c r="X43" s="160">
        <f t="shared" si="46"/>
        <v>1.0000000016465682</v>
      </c>
      <c r="Y43" s="160">
        <f t="shared" si="47"/>
        <v>-5.7385858475414739E-5</v>
      </c>
      <c r="Z43" s="98" t="str">
        <f t="shared" si="36"/>
        <v>0,999999999738655+0,0000222276657830563i</v>
      </c>
      <c r="AA43" s="160">
        <f t="shared" si="48"/>
        <v>0.99999999998568967</v>
      </c>
      <c r="AB43" s="160">
        <f t="shared" si="49"/>
        <v>2.2227665785204721E-5</v>
      </c>
      <c r="AC43" s="171" t="str">
        <f t="shared" si="50"/>
        <v>119,644886257427-11,9288177493174i</v>
      </c>
      <c r="AD43" s="190">
        <f t="shared" si="51"/>
        <v>41.600840538985196</v>
      </c>
      <c r="AE43" s="169">
        <f t="shared" si="52"/>
        <v>-5.693679629044329</v>
      </c>
      <c r="AF43" s="98" t="str">
        <f t="shared" si="37"/>
        <v>-0,0000375877424711299</v>
      </c>
      <c r="AG43" s="98" t="str">
        <f t="shared" si="38"/>
        <v>1,13185114290124E-07i</v>
      </c>
      <c r="AH43" s="98">
        <f t="shared" si="53"/>
        <v>1.13185114290124E-7</v>
      </c>
      <c r="AI43" s="98">
        <f t="shared" si="54"/>
        <v>1.5707963267948966</v>
      </c>
      <c r="AJ43" s="98" t="str">
        <f t="shared" si="39"/>
        <v>1+0,000103239590141151i</v>
      </c>
      <c r="AK43" s="98">
        <f t="shared" si="55"/>
        <v>1.0000000053292064</v>
      </c>
      <c r="AL43" s="98">
        <f t="shared" si="56"/>
        <v>1.0323958977436095E-4</v>
      </c>
      <c r="AM43" s="98" t="str">
        <f t="shared" si="40"/>
        <v>1+0,00804474652407587i</v>
      </c>
      <c r="AN43" s="98">
        <f t="shared" si="57"/>
        <v>1.0000323584497837</v>
      </c>
      <c r="AO43" s="98">
        <f t="shared" si="58"/>
        <v>8.0445729843224185E-3</v>
      </c>
      <c r="AP43" s="168" t="str">
        <f t="shared" si="59"/>
        <v>-2,63730187627601+332,091136932919i</v>
      </c>
      <c r="AQ43" s="98">
        <f t="shared" si="60"/>
        <v>50.42541959003654</v>
      </c>
      <c r="AR43" s="169">
        <f t="shared" si="61"/>
        <v>90.455004887213903</v>
      </c>
      <c r="AS43" s="168" t="str">
        <f t="shared" si="62"/>
        <v>3645,91496562286+39764,4661988707i</v>
      </c>
      <c r="AT43" s="190">
        <f t="shared" si="63"/>
        <v>92.026260129021736</v>
      </c>
      <c r="AU43" s="169">
        <f t="shared" si="64"/>
        <v>84.761325258169578</v>
      </c>
      <c r="AV43" s="225"/>
      <c r="AX43">
        <f t="shared" si="65"/>
        <v>0</v>
      </c>
      <c r="AY43">
        <f t="shared" si="66"/>
        <v>0</v>
      </c>
    </row>
    <row r="44" spans="1:51" x14ac:dyDescent="0.25">
      <c r="B44" s="211"/>
      <c r="N44" s="170">
        <v>26</v>
      </c>
      <c r="O44" s="199">
        <f t="shared" si="41"/>
        <v>18.197008586099841</v>
      </c>
      <c r="P44" s="189" t="str">
        <f t="shared" si="32"/>
        <v>120,833333333333</v>
      </c>
      <c r="Q44" s="160" t="str">
        <f t="shared" si="33"/>
        <v>1+0,101948866143i</v>
      </c>
      <c r="R44" s="160">
        <f t="shared" si="42"/>
        <v>1.0051833520845057</v>
      </c>
      <c r="S44" s="160">
        <f t="shared" si="43"/>
        <v>0.1015978482840353</v>
      </c>
      <c r="T44" s="160" t="str">
        <f t="shared" si="34"/>
        <v>1+6,86011061896817E-06i</v>
      </c>
      <c r="U44" s="160">
        <f t="shared" si="44"/>
        <v>1.0000000000235305</v>
      </c>
      <c r="V44" s="160">
        <f t="shared" si="45"/>
        <v>6.8601106188605549E-6</v>
      </c>
      <c r="W44" s="98" t="str">
        <f t="shared" si="35"/>
        <v>1-0,0000587225468983676i</v>
      </c>
      <c r="X44" s="160">
        <f t="shared" si="46"/>
        <v>1.0000000017241688</v>
      </c>
      <c r="Y44" s="160">
        <f t="shared" si="47"/>
        <v>-5.8722546830869212E-5</v>
      </c>
      <c r="Z44" s="98" t="str">
        <f t="shared" si="36"/>
        <v>0,999999999726338+0,0000227454146305602i</v>
      </c>
      <c r="AA44" s="160">
        <f t="shared" si="48"/>
        <v>0.9999999999850151</v>
      </c>
      <c r="AB44" s="160">
        <f t="shared" si="49"/>
        <v>2.2745414632862275E-5</v>
      </c>
      <c r="AC44" s="171" t="str">
        <f t="shared" si="50"/>
        <v>119,589452625709-12,201024213171i</v>
      </c>
      <c r="AD44" s="190">
        <f t="shared" si="51"/>
        <v>41.598829395754287</v>
      </c>
      <c r="AE44" s="169">
        <f t="shared" si="52"/>
        <v>-5.8254026292576304</v>
      </c>
      <c r="AF44" s="98" t="str">
        <f t="shared" si="37"/>
        <v>-0,0000375877424711299</v>
      </c>
      <c r="AG44" s="98" t="str">
        <f t="shared" si="38"/>
        <v>1,1582153428358E-07i</v>
      </c>
      <c r="AH44" s="98">
        <f t="shared" si="53"/>
        <v>1.1582153428357999E-7</v>
      </c>
      <c r="AI44" s="98">
        <f t="shared" si="54"/>
        <v>1.5707963267948966</v>
      </c>
      <c r="AJ44" s="98" t="str">
        <f t="shared" si="39"/>
        <v>1+0,000105644349117377i</v>
      </c>
      <c r="AK44" s="98">
        <f t="shared" si="55"/>
        <v>1.0000000055803642</v>
      </c>
      <c r="AL44" s="98">
        <f t="shared" si="56"/>
        <v>1.0564434872435437E-4</v>
      </c>
      <c r="AM44" s="98" t="str">
        <f t="shared" si="40"/>
        <v>1+0,00823213274276181i</v>
      </c>
      <c r="AN44" s="98">
        <f t="shared" si="57"/>
        <v>1.0000338834307039</v>
      </c>
      <c r="AO44" s="98">
        <f t="shared" si="58"/>
        <v>8.2319467919060394E-3</v>
      </c>
      <c r="AP44" s="168" t="str">
        <f t="shared" si="59"/>
        <v>-2,63730187495126+324,53183230017i</v>
      </c>
      <c r="AQ44" s="98">
        <f t="shared" si="60"/>
        <v>50.225432833232318</v>
      </c>
      <c r="AR44" s="169">
        <f t="shared" si="61"/>
        <v>90.46560283304116</v>
      </c>
      <c r="AS44" s="168" t="str">
        <f t="shared" si="62"/>
        <v>3644,22725620495+38842,7619684294i</v>
      </c>
      <c r="AT44" s="190">
        <f t="shared" si="63"/>
        <v>91.824262228986584</v>
      </c>
      <c r="AU44" s="169">
        <f t="shared" si="64"/>
        <v>84.640200203783522</v>
      </c>
      <c r="AV44" s="225"/>
      <c r="AX44">
        <f t="shared" si="65"/>
        <v>0</v>
      </c>
      <c r="AY44">
        <f t="shared" si="66"/>
        <v>0</v>
      </c>
    </row>
    <row r="45" spans="1:51" x14ac:dyDescent="0.25">
      <c r="A45" s="98" t="s">
        <v>247</v>
      </c>
      <c r="B45" s="211">
        <f>(Isl*(Rsl_int+R_sl)*Fsw)</f>
        <v>146519.99999999997</v>
      </c>
      <c r="C45" s="98" t="s">
        <v>180</v>
      </c>
      <c r="E45" s="98" t="s">
        <v>248</v>
      </c>
      <c r="N45" s="170">
        <v>27</v>
      </c>
      <c r="O45" s="199">
        <f t="shared" si="41"/>
        <v>18.62087136662868</v>
      </c>
      <c r="P45" s="189" t="str">
        <f t="shared" si="32"/>
        <v>120,833333333333</v>
      </c>
      <c r="Q45" s="160" t="str">
        <f t="shared" si="33"/>
        <v>1+0,1043235602951i</v>
      </c>
      <c r="R45" s="160">
        <f t="shared" si="42"/>
        <v>1.0054269765789285</v>
      </c>
      <c r="S45" s="160">
        <f t="shared" si="43"/>
        <v>0.10394754744406336</v>
      </c>
      <c r="T45" s="160" t="str">
        <f t="shared" si="34"/>
        <v>1+7,01990312266091E-06i</v>
      </c>
      <c r="U45" s="160">
        <f t="shared" si="44"/>
        <v>1.0000000000246394</v>
      </c>
      <c r="V45" s="160">
        <f t="shared" si="45"/>
        <v>7.0199031225455981E-6</v>
      </c>
      <c r="W45" s="98" t="str">
        <f t="shared" si="35"/>
        <v>1-0,0000600903707299774i</v>
      </c>
      <c r="X45" s="160">
        <f t="shared" si="46"/>
        <v>1.0000000018054263</v>
      </c>
      <c r="Y45" s="160">
        <f t="shared" si="47"/>
        <v>-6.0090370657651574E-5</v>
      </c>
      <c r="Z45" s="98" t="str">
        <f t="shared" si="36"/>
        <v>0,999999999713441+0,0000232752233979724i</v>
      </c>
      <c r="AA45" s="160">
        <f t="shared" si="48"/>
        <v>0.999999999984309</v>
      </c>
      <c r="AB45" s="160">
        <f t="shared" si="49"/>
        <v>2.3275223400439115E-5</v>
      </c>
      <c r="AC45" s="171" t="str">
        <f t="shared" si="50"/>
        <v>119,531461475201-12,479172732699i</v>
      </c>
      <c r="AD45" s="190">
        <f t="shared" si="51"/>
        <v>41.596724467985347</v>
      </c>
      <c r="AE45" s="169">
        <f t="shared" si="52"/>
        <v>-5.9601300451553358</v>
      </c>
      <c r="AF45" s="98" t="str">
        <f t="shared" si="37"/>
        <v>-0,0000375877424711299</v>
      </c>
      <c r="AG45" s="98" t="str">
        <f t="shared" si="38"/>
        <v>1,18519364387592E-07i</v>
      </c>
      <c r="AH45" s="98">
        <f t="shared" si="53"/>
        <v>1.1851936438759199E-7</v>
      </c>
      <c r="AI45" s="98">
        <f t="shared" si="54"/>
        <v>1.5707963267948966</v>
      </c>
      <c r="AJ45" s="98" t="str">
        <f t="shared" si="39"/>
        <v>1+0,000108105122125874i</v>
      </c>
      <c r="AK45" s="98">
        <f t="shared" si="55"/>
        <v>1.0000000058433587</v>
      </c>
      <c r="AL45" s="98">
        <f t="shared" si="56"/>
        <v>1.0810512170474266E-4</v>
      </c>
      <c r="AM45" s="98" t="str">
        <f t="shared" si="40"/>
        <v>1+0,0084238837471931i</v>
      </c>
      <c r="AN45" s="98">
        <f t="shared" si="57"/>
        <v>1.0000354802792679</v>
      </c>
      <c r="AO45" s="98">
        <f t="shared" si="58"/>
        <v>8.4236844976431149E-3</v>
      </c>
      <c r="AP45" s="168" t="str">
        <f t="shared" si="59"/>
        <v>-2,63730187356408+317,144598740593i</v>
      </c>
      <c r="AQ45" s="98">
        <f t="shared" si="60"/>
        <v>50.025446700517392</v>
      </c>
      <c r="AR45" s="169">
        <f t="shared" si="61"/>
        <v>90.476447602447294</v>
      </c>
      <c r="AS45" s="168" t="str">
        <f t="shared" si="62"/>
        <v>3642,46168162797+37941,6687320577i</v>
      </c>
      <c r="AT45" s="190">
        <f t="shared" si="63"/>
        <v>91.622171168502732</v>
      </c>
      <c r="AU45" s="169">
        <f t="shared" si="64"/>
        <v>84.516317557291956</v>
      </c>
      <c r="AV45" s="225"/>
      <c r="AX45">
        <f t="shared" si="65"/>
        <v>0</v>
      </c>
      <c r="AY45">
        <f t="shared" si="66"/>
        <v>0</v>
      </c>
    </row>
    <row r="46" spans="1:51" x14ac:dyDescent="0.25">
      <c r="A46" s="98" t="s">
        <v>250</v>
      </c>
      <c r="B46" s="211">
        <f>(R_cs*VIN_var*Acs)/Lm</f>
        <v>62500</v>
      </c>
      <c r="C46" s="98" t="s">
        <v>180</v>
      </c>
      <c r="E46" s="98" t="s">
        <v>249</v>
      </c>
      <c r="N46" s="170">
        <v>28</v>
      </c>
      <c r="O46" s="199">
        <f t="shared" si="41"/>
        <v>19.054607179632477</v>
      </c>
      <c r="P46" s="189" t="str">
        <f t="shared" si="32"/>
        <v>120,833333333333</v>
      </c>
      <c r="Q46" s="160" t="str">
        <f t="shared" si="33"/>
        <v>1+0,106753568179755i</v>
      </c>
      <c r="R46" s="160">
        <f t="shared" si="42"/>
        <v>1.0056820194868303</v>
      </c>
      <c r="S46" s="160">
        <f t="shared" si="43"/>
        <v>0.10635078599352393</v>
      </c>
      <c r="T46" s="160" t="str">
        <f t="shared" si="34"/>
        <v>1+7,18341767190869E-06i</v>
      </c>
      <c r="U46" s="160">
        <f t="shared" si="44"/>
        <v>1.0000000000258007</v>
      </c>
      <c r="V46" s="160">
        <f t="shared" si="45"/>
        <v>7.1834176717851317E-6</v>
      </c>
      <c r="W46" s="98" t="str">
        <f t="shared" si="35"/>
        <v>1-0,0000614900552715384i</v>
      </c>
      <c r="X46" s="160">
        <f t="shared" si="46"/>
        <v>1.0000000018905133</v>
      </c>
      <c r="Y46" s="160">
        <f t="shared" si="47"/>
        <v>-6.1490055194039886E-5</v>
      </c>
      <c r="Z46" s="98" t="str">
        <f t="shared" si="36"/>
        <v>0,999999999699935+0,0000238173729969142i</v>
      </c>
      <c r="AA46" s="160">
        <f t="shared" si="48"/>
        <v>0.99999999998356859</v>
      </c>
      <c r="AB46" s="160">
        <f t="shared" si="49"/>
        <v>2.3817372999557354E-5</v>
      </c>
      <c r="AC46" s="171" t="str">
        <f t="shared" si="50"/>
        <v>119,470797491215-12,7633739100815i</v>
      </c>
      <c r="AD46" s="190">
        <f t="shared" si="51"/>
        <v>41.594521430947125</v>
      </c>
      <c r="AE46" s="169">
        <f t="shared" si="52"/>
        <v>-6.0979273614094938</v>
      </c>
      <c r="AF46" s="98" t="str">
        <f t="shared" si="37"/>
        <v>-0,0000375877424711299</v>
      </c>
      <c r="AG46" s="98" t="str">
        <f t="shared" si="38"/>
        <v>1,21280035027392E-07i</v>
      </c>
      <c r="AH46" s="98">
        <f t="shared" si="53"/>
        <v>1.2128003502739199E-7</v>
      </c>
      <c r="AI46" s="98">
        <f t="shared" si="54"/>
        <v>1.5707963267948966</v>
      </c>
      <c r="AJ46" s="98" t="str">
        <f t="shared" si="39"/>
        <v>1+0,000110623213901062i</v>
      </c>
      <c r="AK46" s="98">
        <f t="shared" si="55"/>
        <v>1.0000000061187477</v>
      </c>
      <c r="AL46" s="98">
        <f t="shared" si="56"/>
        <v>1.1062321344981165E-4</v>
      </c>
      <c r="AM46" s="98" t="str">
        <f t="shared" si="40"/>
        <v>1+0,00862010120629043i</v>
      </c>
      <c r="AN46" s="98">
        <f t="shared" si="57"/>
        <v>1.0000371523822535</v>
      </c>
      <c r="AO46" s="98">
        <f t="shared" si="58"/>
        <v>8.6198877069794417E-3</v>
      </c>
      <c r="AP46" s="168" t="str">
        <f t="shared" si="59"/>
        <v>-2,63730187211151+309,925519445172i</v>
      </c>
      <c r="AQ46" s="98">
        <f t="shared" si="60"/>
        <v>49.82546122129996</v>
      </c>
      <c r="AR46" s="169">
        <f t="shared" si="61"/>
        <v>90.487544942239779</v>
      </c>
      <c r="AS46" s="168" t="str">
        <f t="shared" si="62"/>
        <v>3640,61473106873+37060,7098409013i</v>
      </c>
      <c r="AT46" s="190">
        <f t="shared" si="63"/>
        <v>91.419982652247086</v>
      </c>
      <c r="AU46" s="169">
        <f t="shared" si="64"/>
        <v>84.389617580830276</v>
      </c>
      <c r="AV46" s="225"/>
      <c r="AX46">
        <f t="shared" si="65"/>
        <v>0</v>
      </c>
      <c r="AY46">
        <f t="shared" si="66"/>
        <v>0</v>
      </c>
    </row>
    <row r="47" spans="1:51" x14ac:dyDescent="0.25">
      <c r="B47" s="211"/>
      <c r="N47" s="170">
        <v>29</v>
      </c>
      <c r="O47" s="199">
        <f t="shared" si="41"/>
        <v>19.498445997580465</v>
      </c>
      <c r="P47" s="189" t="str">
        <f t="shared" si="32"/>
        <v>120,833333333333</v>
      </c>
      <c r="Q47" s="160" t="str">
        <f t="shared" si="33"/>
        <v>1+0,109240178219309i</v>
      </c>
      <c r="R47" s="160">
        <f t="shared" si="42"/>
        <v>1.0059490128915016</v>
      </c>
      <c r="S47" s="160">
        <f t="shared" si="43"/>
        <v>0.10880872706042027</v>
      </c>
      <c r="T47" s="160" t="str">
        <f t="shared" si="34"/>
        <v>1+7,35074096428991E-06i</v>
      </c>
      <c r="U47" s="160">
        <f t="shared" si="44"/>
        <v>1.0000000000270166</v>
      </c>
      <c r="V47" s="160">
        <f t="shared" si="45"/>
        <v>7.3507409641575148E-6</v>
      </c>
      <c r="W47" s="98" t="str">
        <f t="shared" si="35"/>
        <v>1-0,0000629223426543216i</v>
      </c>
      <c r="X47" s="160">
        <f t="shared" si="46"/>
        <v>1.0000000019796105</v>
      </c>
      <c r="Y47" s="160">
        <f t="shared" si="47"/>
        <v>-6.2922342571280443E-5</v>
      </c>
      <c r="Z47" s="98" t="str">
        <f t="shared" si="36"/>
        <v>0,999999999685794+0,0000243721508822792i</v>
      </c>
      <c r="AA47" s="160">
        <f t="shared" si="48"/>
        <v>0.99999999998279487</v>
      </c>
      <c r="AB47" s="160">
        <f t="shared" si="49"/>
        <v>2.4372150885111378E-5</v>
      </c>
      <c r="AC47" s="171" t="str">
        <f t="shared" si="50"/>
        <v>119,407340415031-13,0537390177337i</v>
      </c>
      <c r="AD47" s="190">
        <f t="shared" si="51"/>
        <v>41.592215765119178</v>
      </c>
      <c r="AE47" s="169">
        <f t="shared" si="52"/>
        <v>-6.2388612743692109</v>
      </c>
      <c r="AF47" s="98" t="str">
        <f t="shared" si="37"/>
        <v>-0,0000375877424711299</v>
      </c>
      <c r="AG47" s="98" t="str">
        <f t="shared" si="38"/>
        <v>1,24105009947095E-07i</v>
      </c>
      <c r="AH47" s="98">
        <f t="shared" si="53"/>
        <v>1.2410500994709501E-7</v>
      </c>
      <c r="AI47" s="98">
        <f t="shared" si="54"/>
        <v>1.5707963267948966</v>
      </c>
      <c r="AJ47" s="98" t="str">
        <f t="shared" si="39"/>
        <v>1+0,000113199959568532i</v>
      </c>
      <c r="AK47" s="98">
        <f t="shared" si="55"/>
        <v>1.0000000064071153</v>
      </c>
      <c r="AL47" s="98">
        <f t="shared" si="56"/>
        <v>1.1319995908500853E-4</v>
      </c>
      <c r="AM47" s="98" t="str">
        <f t="shared" si="40"/>
        <v>1+0,0088208891571479i</v>
      </c>
      <c r="AN47" s="98">
        <f t="shared" si="57"/>
        <v>1.0000389032860284</v>
      </c>
      <c r="AO47" s="98">
        <f t="shared" si="58"/>
        <v>8.8206603889951704E-3</v>
      </c>
      <c r="AP47" s="168" t="str">
        <f t="shared" si="59"/>
        <v>-2,63730187059049+302,870766762509i</v>
      </c>
      <c r="AQ47" s="98">
        <f t="shared" si="60"/>
        <v>49.625476426373837</v>
      </c>
      <c r="AR47" s="169">
        <f t="shared" si="61"/>
        <v>90.498900732911025</v>
      </c>
      <c r="AS47" s="168" t="str">
        <f t="shared" si="62"/>
        <v>3638,68274317989+36199,419398902i</v>
      </c>
      <c r="AT47" s="190">
        <f t="shared" si="63"/>
        <v>91.217692191493001</v>
      </c>
      <c r="AU47" s="169">
        <f t="shared" si="64"/>
        <v>84.260039458541812</v>
      </c>
      <c r="AV47" s="225"/>
      <c r="AX47">
        <f t="shared" si="65"/>
        <v>0</v>
      </c>
      <c r="AY47">
        <f t="shared" si="66"/>
        <v>0</v>
      </c>
    </row>
    <row r="48" spans="1:51" x14ac:dyDescent="0.25">
      <c r="A48" s="98" t="s">
        <v>245</v>
      </c>
      <c r="B48" s="211">
        <f>2*PI()*Fsw</f>
        <v>13823007.675795089</v>
      </c>
      <c r="C48" s="98" t="s">
        <v>251</v>
      </c>
      <c r="N48" s="170">
        <v>30</v>
      </c>
      <c r="O48" s="199">
        <f t="shared" si="41"/>
        <v>19.952623149688804</v>
      </c>
      <c r="P48" s="189" t="str">
        <f t="shared" si="32"/>
        <v>120,833333333333</v>
      </c>
      <c r="Q48" s="160" t="str">
        <f t="shared" si="33"/>
        <v>1+0,11178470884732i</v>
      </c>
      <c r="R48" s="160">
        <f t="shared" si="42"/>
        <v>1.0062285133765987</v>
      </c>
      <c r="S48" s="160">
        <f t="shared" si="43"/>
        <v>0.11132255501628228</v>
      </c>
      <c r="T48" s="160" t="str">
        <f t="shared" si="34"/>
        <v>1+7,52196171682895E-06i</v>
      </c>
      <c r="U48" s="160">
        <f t="shared" si="44"/>
        <v>1.0000000000282898</v>
      </c>
      <c r="V48" s="160">
        <f t="shared" si="45"/>
        <v>7.5219617166870866E-6</v>
      </c>
      <c r="W48" s="98" t="str">
        <f t="shared" si="35"/>
        <v>1-0,0000643879922960558i</v>
      </c>
      <c r="X48" s="160">
        <f t="shared" si="46"/>
        <v>1.0000000020729067</v>
      </c>
      <c r="Y48" s="160">
        <f t="shared" si="47"/>
        <v>-6.4387992207075594E-5</v>
      </c>
      <c r="Z48" s="98" t="str">
        <f t="shared" si="36"/>
        <v>0,999999999670986+0,0000249398512046455i</v>
      </c>
      <c r="AA48" s="160">
        <f t="shared" si="48"/>
        <v>0.99999999998198408</v>
      </c>
      <c r="AB48" s="160">
        <f t="shared" si="49"/>
        <v>2.4939851207680228E-5</v>
      </c>
      <c r="AC48" s="171" t="str">
        <f t="shared" si="50"/>
        <v>119,340964856368-13,3503798874092i</v>
      </c>
      <c r="AD48" s="190">
        <f t="shared" si="51"/>
        <v>41.589802747860176</v>
      </c>
      <c r="AE48" s="169">
        <f t="shared" si="52"/>
        <v>-6.3829996988065716</v>
      </c>
      <c r="AF48" s="98" t="str">
        <f t="shared" si="37"/>
        <v>-0,0000375877424711299</v>
      </c>
      <c r="AG48" s="98" t="str">
        <f t="shared" si="38"/>
        <v>1,26995786985796E-07i</v>
      </c>
      <c r="AH48" s="98">
        <f t="shared" si="53"/>
        <v>1.26995786985796E-7</v>
      </c>
      <c r="AI48" s="98">
        <f t="shared" si="54"/>
        <v>1.5707963267948966</v>
      </c>
      <c r="AJ48" s="98" t="str">
        <f t="shared" si="39"/>
        <v>1+0,000115836725352943i</v>
      </c>
      <c r="AK48" s="98">
        <f t="shared" si="55"/>
        <v>1.0000000067090735</v>
      </c>
      <c r="AL48" s="98">
        <f t="shared" si="56"/>
        <v>1.1583672483483828E-4</v>
      </c>
      <c r="AM48" s="98" t="str">
        <f t="shared" si="40"/>
        <v>1+0,00902635406019475i</v>
      </c>
      <c r="AN48" s="98">
        <f t="shared" si="57"/>
        <v>1.0000407367040705</v>
      </c>
      <c r="AO48" s="98">
        <f t="shared" si="58"/>
        <v>9.0261089312419721E-3</v>
      </c>
      <c r="AP48" s="168" t="str">
        <f t="shared" si="59"/>
        <v>-2,63730186899777+295,976600169353i</v>
      </c>
      <c r="AQ48" s="98">
        <f t="shared" si="60"/>
        <v>49.425492347983734</v>
      </c>
      <c r="AR48" s="169">
        <f t="shared" si="61"/>
        <v>90.510520991739838</v>
      </c>
      <c r="AS48" s="168" t="str">
        <f t="shared" si="62"/>
        <v>3636,66190038099+35357,3420209469i</v>
      </c>
      <c r="AT48" s="190">
        <f t="shared" si="63"/>
        <v>91.015295095843896</v>
      </c>
      <c r="AU48" s="169">
        <f t="shared" si="64"/>
        <v>84.127521292933281</v>
      </c>
      <c r="AV48" s="225"/>
      <c r="AX48">
        <f t="shared" si="65"/>
        <v>0</v>
      </c>
      <c r="AY48">
        <f t="shared" si="66"/>
        <v>0</v>
      </c>
    </row>
    <row r="49" spans="1:51" x14ac:dyDescent="0.25">
      <c r="A49" s="98" t="s">
        <v>246</v>
      </c>
      <c r="B49" s="211">
        <f>1/(PI()*(((VIN_var/VOUT)*(1+(B45/B46)))-0.5))</f>
        <v>0.72729978094336956</v>
      </c>
      <c r="N49" s="170">
        <v>31</v>
      </c>
      <c r="O49" s="199">
        <f t="shared" si="41"/>
        <v>20.4173794466953</v>
      </c>
      <c r="P49" s="189" t="str">
        <f t="shared" si="32"/>
        <v>120,833333333333</v>
      </c>
      <c r="Q49" s="160" t="str">
        <f t="shared" si="33"/>
        <v>1+0,114388509207606i</v>
      </c>
      <c r="R49" s="160">
        <f t="shared" si="42"/>
        <v>1.0065211031263768</v>
      </c>
      <c r="S49" s="160">
        <f t="shared" si="43"/>
        <v>0.1138934755712856</v>
      </c>
      <c r="T49" s="160" t="str">
        <f t="shared" si="34"/>
        <v>1+7,69717071303514E-06i</v>
      </c>
      <c r="U49" s="160">
        <f t="shared" si="44"/>
        <v>1.0000000000296232</v>
      </c>
      <c r="V49" s="160">
        <f t="shared" si="45"/>
        <v>7.6971707128831295E-6</v>
      </c>
      <c r="W49" s="98" t="str">
        <f t="shared" si="35"/>
        <v>1-0,0000658877813035809i</v>
      </c>
      <c r="X49" s="160">
        <f t="shared" si="46"/>
        <v>1.0000000021705997</v>
      </c>
      <c r="Y49" s="160">
        <f t="shared" si="47"/>
        <v>-6.5887781208236895E-5</v>
      </c>
      <c r="Z49" s="98" t="str">
        <f t="shared" si="36"/>
        <v>0,99999999965548+0,0000255207749662384i</v>
      </c>
      <c r="AA49" s="160">
        <f t="shared" si="48"/>
        <v>0.99999999998113509</v>
      </c>
      <c r="AB49" s="160">
        <f t="shared" si="49"/>
        <v>2.5520774969490171E-5</v>
      </c>
      <c r="AC49" s="171" t="str">
        <f t="shared" si="50"/>
        <v>119,271540101143-13,6534087888192i</v>
      </c>
      <c r="AD49" s="190">
        <f t="shared" si="51"/>
        <v>41.587277444762655</v>
      </c>
      <c r="AE49" s="169">
        <f t="shared" si="52"/>
        <v>-6.5304117733953149</v>
      </c>
      <c r="AF49" s="98" t="str">
        <f t="shared" si="37"/>
        <v>-0,0000375877424711299</v>
      </c>
      <c r="AG49" s="98" t="str">
        <f t="shared" si="38"/>
        <v>1,29953898871744E-07i</v>
      </c>
      <c r="AH49" s="98">
        <f t="shared" si="53"/>
        <v>1.29953898871744E-7</v>
      </c>
      <c r="AI49" s="98">
        <f t="shared" si="54"/>
        <v>1.5707963267948966</v>
      </c>
      <c r="AJ49" s="98" t="str">
        <f t="shared" si="39"/>
        <v>1+0,000118534909302417i</v>
      </c>
      <c r="AK49" s="98">
        <f t="shared" si="55"/>
        <v>1.0000000070252624</v>
      </c>
      <c r="AL49" s="98">
        <f t="shared" si="56"/>
        <v>1.1853490874725778E-4</v>
      </c>
      <c r="AM49" s="98" t="str">
        <f t="shared" si="40"/>
        <v>1+0,00923660485564218i</v>
      </c>
      <c r="AN49" s="98">
        <f t="shared" si="57"/>
        <v>1.0000426565248401</v>
      </c>
      <c r="AO49" s="98">
        <f t="shared" si="58"/>
        <v>9.236342195842101E-3</v>
      </c>
      <c r="AP49" s="168" t="str">
        <f t="shared" si="59"/>
        <v>-2,63730186733+289,239364287321i</v>
      </c>
      <c r="AQ49" s="98">
        <f t="shared" si="60"/>
        <v>49.225509019893423</v>
      </c>
      <c r="AR49" s="169">
        <f t="shared" si="61"/>
        <v>90.522411875964153</v>
      </c>
      <c r="AS49" s="168" t="str">
        <f t="shared" si="62"/>
        <v>3634,54822300492+34534,0325969185i</v>
      </c>
      <c r="AT49" s="190">
        <f t="shared" si="63"/>
        <v>90.812786464656071</v>
      </c>
      <c r="AU49" s="169">
        <f t="shared" si="64"/>
        <v>83.992000102568838</v>
      </c>
      <c r="AV49" s="225"/>
      <c r="AX49">
        <f t="shared" si="65"/>
        <v>0</v>
      </c>
      <c r="AY49">
        <f t="shared" si="66"/>
        <v>0</v>
      </c>
    </row>
    <row r="50" spans="1:51" x14ac:dyDescent="0.25">
      <c r="A50" s="98" t="s">
        <v>544</v>
      </c>
      <c r="B50" s="209">
        <f>2*Fsw*((1-1/(B20/B17))/Dc_VIN_nom)^2</f>
        <v>4400000</v>
      </c>
      <c r="C50" s="98" t="s">
        <v>251</v>
      </c>
      <c r="E50" s="98" t="s">
        <v>545</v>
      </c>
      <c r="N50" s="170">
        <v>32</v>
      </c>
      <c r="O50" s="199">
        <f t="shared" si="41"/>
        <v>20.8929613085404</v>
      </c>
      <c r="P50" s="189" t="str">
        <f t="shared" si="32"/>
        <v>120,833333333333</v>
      </c>
      <c r="Q50" s="160" t="str">
        <f t="shared" si="33"/>
        <v>1+0,117052959869587i</v>
      </c>
      <c r="R50" s="160">
        <f t="shared" si="42"/>
        <v>1.0068273910726859</v>
      </c>
      <c r="S50" s="160">
        <f t="shared" si="43"/>
        <v>0.11652271584521899</v>
      </c>
      <c r="T50" s="160" t="str">
        <f t="shared" si="34"/>
        <v>1+7,87646085103756E-06i</v>
      </c>
      <c r="U50" s="160">
        <f t="shared" si="44"/>
        <v>1.0000000000310192</v>
      </c>
      <c r="V50" s="160">
        <f t="shared" si="45"/>
        <v>7.8764608508746792E-6</v>
      </c>
      <c r="W50" s="98" t="str">
        <f t="shared" si="35"/>
        <v>1-0,0000674225048848816i</v>
      </c>
      <c r="X50" s="160">
        <f t="shared" si="46"/>
        <v>1.000000002272897</v>
      </c>
      <c r="Y50" s="160">
        <f t="shared" si="47"/>
        <v>-6.7422504782718655E-5</v>
      </c>
      <c r="Z50" s="98" t="str">
        <f t="shared" si="36"/>
        <v>0,999999999639243+0,000026115230180526i</v>
      </c>
      <c r="AA50" s="160">
        <f t="shared" si="48"/>
        <v>0.99999999998024558</v>
      </c>
      <c r="AB50" s="160">
        <f t="shared" si="49"/>
        <v>2.6115230184010344E-5</v>
      </c>
      <c r="AC50" s="171" t="str">
        <f t="shared" si="50"/>
        <v>119,19892991463-13,9629382970953i</v>
      </c>
      <c r="AD50" s="190">
        <f t="shared" si="51"/>
        <v>41.584634700684433</v>
      </c>
      <c r="AE50" s="169">
        <f t="shared" si="52"/>
        <v>-6.6811678648077679</v>
      </c>
      <c r="AF50" s="98" t="str">
        <f t="shared" si="37"/>
        <v>-0,0000375877424711299</v>
      </c>
      <c r="AG50" s="98" t="str">
        <f t="shared" si="38"/>
        <v>1,32980914035017E-07i</v>
      </c>
      <c r="AH50" s="98">
        <f t="shared" si="53"/>
        <v>1.32980914035017E-7</v>
      </c>
      <c r="AI50" s="98">
        <f t="shared" si="54"/>
        <v>1.5707963267948966</v>
      </c>
      <c r="AJ50" s="98" t="str">
        <f t="shared" si="39"/>
        <v>1+0,000121295942029799i</v>
      </c>
      <c r="AK50" s="98">
        <f t="shared" si="55"/>
        <v>1.0000000073563526</v>
      </c>
      <c r="AL50" s="98">
        <f t="shared" si="56"/>
        <v>1.2129594143493517E-4</v>
      </c>
      <c r="AM50" s="98" t="str">
        <f t="shared" si="40"/>
        <v>1+0,00945175302124509i</v>
      </c>
      <c r="AN50" s="98">
        <f t="shared" si="57"/>
        <v>1.0000446668200249</v>
      </c>
      <c r="AO50" s="98">
        <f t="shared" si="58"/>
        <v>9.4514715768775192E-3</v>
      </c>
      <c r="AP50" s="168" t="str">
        <f t="shared" si="59"/>
        <v>-2,63730186558366+282,65548694477i</v>
      </c>
      <c r="AQ50" s="98">
        <f t="shared" si="60"/>
        <v>49.025526477457404</v>
      </c>
      <c r="AR50" s="169">
        <f t="shared" si="61"/>
        <v>90.534579686026646</v>
      </c>
      <c r="AS50" s="168" t="str">
        <f t="shared" si="62"/>
        <v>3632,33756330582+33729,0560615352i</v>
      </c>
      <c r="AT50" s="190">
        <f t="shared" si="63"/>
        <v>90.610161178141823</v>
      </c>
      <c r="AU50" s="169">
        <f t="shared" si="64"/>
        <v>83.853411821218884</v>
      </c>
      <c r="AV50" s="225"/>
      <c r="AX50">
        <f t="shared" si="65"/>
        <v>0</v>
      </c>
      <c r="AY50">
        <f t="shared" si="66"/>
        <v>0</v>
      </c>
    </row>
    <row r="51" spans="1:51" x14ac:dyDescent="0.25">
      <c r="N51" s="170">
        <v>33</v>
      </c>
      <c r="O51" s="199">
        <f t="shared" si="41"/>
        <v>21.379620895022335</v>
      </c>
      <c r="P51" s="189" t="str">
        <f t="shared" si="32"/>
        <v>120,833333333333</v>
      </c>
      <c r="Q51" s="160" t="str">
        <f t="shared" si="33"/>
        <v>1+0,119779473560268i</v>
      </c>
      <c r="R51" s="160">
        <f t="shared" si="42"/>
        <v>1.0071480140904687</v>
      </c>
      <c r="S51" s="160">
        <f t="shared" si="43"/>
        <v>0.11921152441207467</v>
      </c>
      <c r="T51" s="160" t="str">
        <f t="shared" si="34"/>
        <v>1+8,05992719284042E-06i</v>
      </c>
      <c r="U51" s="160">
        <f t="shared" si="44"/>
        <v>1.0000000000324811</v>
      </c>
      <c r="V51" s="160">
        <f t="shared" si="45"/>
        <v>8.0599271926658882E-6</v>
      </c>
      <c r="W51" s="98" t="str">
        <f t="shared" si="35"/>
        <v>1-0,0000689929767707141i</v>
      </c>
      <c r="X51" s="160">
        <f t="shared" si="46"/>
        <v>1.0000000023800153</v>
      </c>
      <c r="Y51" s="160">
        <f t="shared" si="47"/>
        <v>-6.8992976661244533E-5</v>
      </c>
      <c r="Z51" s="98" t="str">
        <f t="shared" si="36"/>
        <v>0,999999999622241+0,0000267235320355311i</v>
      </c>
      <c r="AA51" s="160">
        <f t="shared" si="48"/>
        <v>0.99999999997931444</v>
      </c>
      <c r="AB51" s="160">
        <f t="shared" si="49"/>
        <v>2.6723532039264646E-5</v>
      </c>
      <c r="AC51" s="171" t="str">
        <f t="shared" si="50"/>
        <v>119,122992340243-14,2790811483826i</v>
      </c>
      <c r="AD51" s="190">
        <f t="shared" si="51"/>
        <v>41.581869130453114</v>
      </c>
      <c r="AE51" s="169">
        <f t="shared" si="52"/>
        <v>-6.8353395702996291</v>
      </c>
      <c r="AF51" s="98" t="str">
        <f t="shared" si="37"/>
        <v>-0,0000375877424711299</v>
      </c>
      <c r="AG51" s="98" t="str">
        <f t="shared" si="38"/>
        <v>1,36078437439123E-07i</v>
      </c>
      <c r="AH51" s="98">
        <f t="shared" si="53"/>
        <v>1.3607843743912301E-7</v>
      </c>
      <c r="AI51" s="98">
        <f t="shared" si="54"/>
        <v>1.5707963267948966</v>
      </c>
      <c r="AJ51" s="98" t="str">
        <f t="shared" si="39"/>
        <v>1+0,000124121287471185i</v>
      </c>
      <c r="AK51" s="98">
        <f t="shared" si="55"/>
        <v>1.0000000077030469</v>
      </c>
      <c r="AL51" s="98">
        <f t="shared" si="56"/>
        <v>1.2412128683377693E-4</v>
      </c>
      <c r="AM51" s="98" t="str">
        <f t="shared" si="40"/>
        <v>1+0,00967191263140852i</v>
      </c>
      <c r="AN51" s="98">
        <f t="shared" si="57"/>
        <v>1.0000467718531716</v>
      </c>
      <c r="AO51" s="98">
        <f t="shared" si="58"/>
        <v>9.6716110590970815E-3</v>
      </c>
      <c r="AP51" s="168" t="str">
        <f t="shared" si="59"/>
        <v>-2,63730186375496+276,221477282782i</v>
      </c>
      <c r="AQ51" s="98">
        <f t="shared" si="60"/>
        <v>48.825544757695695</v>
      </c>
      <c r="AR51" s="169">
        <f t="shared" si="61"/>
        <v>90.547030868894993</v>
      </c>
      <c r="AS51" s="168" t="str">
        <f t="shared" si="62"/>
        <v>3630,02559933197+32941,9871698928i</v>
      </c>
      <c r="AT51" s="190">
        <f t="shared" si="63"/>
        <v>90.40741388814881</v>
      </c>
      <c r="AU51" s="169">
        <f t="shared" si="64"/>
        <v>83.711691298595383</v>
      </c>
      <c r="AV51" s="225"/>
      <c r="AX51">
        <f t="shared" si="65"/>
        <v>0</v>
      </c>
      <c r="AY51">
        <f t="shared" si="66"/>
        <v>0</v>
      </c>
    </row>
    <row r="52" spans="1:51" x14ac:dyDescent="0.25">
      <c r="N52" s="170">
        <v>34</v>
      </c>
      <c r="O52" s="199">
        <f t="shared" si="41"/>
        <v>21.877616239495538</v>
      </c>
      <c r="P52" s="189" t="str">
        <f t="shared" si="32"/>
        <v>120,833333333333</v>
      </c>
      <c r="Q52" s="160" t="str">
        <f t="shared" si="33"/>
        <v>1+0,1225694959133i</v>
      </c>
      <c r="R52" s="160">
        <f t="shared" si="42"/>
        <v>1.0074836382435401</v>
      </c>
      <c r="S52" s="160">
        <f t="shared" si="43"/>
        <v>0.12196117131597953</v>
      </c>
      <c r="T52" s="160" t="str">
        <f t="shared" si="34"/>
        <v>1+0,0000082476670147267i</v>
      </c>
      <c r="U52" s="160">
        <f t="shared" si="44"/>
        <v>1.0000000000340119</v>
      </c>
      <c r="V52" s="160">
        <f t="shared" si="45"/>
        <v>8.2476670145396869E-6</v>
      </c>
      <c r="W52" s="98" t="str">
        <f t="shared" si="35"/>
        <v>1-0,0000706000296460606i</v>
      </c>
      <c r="X52" s="160">
        <f t="shared" si="46"/>
        <v>1.000000002492182</v>
      </c>
      <c r="Y52" s="160">
        <f t="shared" si="47"/>
        <v>-7.060002952876185E-5</v>
      </c>
      <c r="Z52" s="98" t="str">
        <f t="shared" si="36"/>
        <v>0,999999999604438+0,0000273460030609492i</v>
      </c>
      <c r="AA52" s="160">
        <f t="shared" si="48"/>
        <v>0.99999999997833977</v>
      </c>
      <c r="AB52" s="160">
        <f t="shared" si="49"/>
        <v>2.7346003064949758E-5</v>
      </c>
      <c r="AC52" s="171" t="str">
        <f t="shared" si="50"/>
        <v>119,043579494096-14,6019500828267i</v>
      </c>
      <c r="AD52" s="190">
        <f t="shared" si="51"/>
        <v>41.578975109232218</v>
      </c>
      <c r="AE52" s="169">
        <f t="shared" si="52"/>
        <v>-6.9929997186544988</v>
      </c>
      <c r="AF52" s="98" t="str">
        <f t="shared" si="37"/>
        <v>-0,0000375877424711299</v>
      </c>
      <c r="AG52" s="98" t="str">
        <f t="shared" si="38"/>
        <v>1,39248111431969E-07i</v>
      </c>
      <c r="AH52" s="98">
        <f t="shared" si="53"/>
        <v>1.39248111431969E-7</v>
      </c>
      <c r="AI52" s="98">
        <f t="shared" si="54"/>
        <v>1.5707963267948966</v>
      </c>
      <c r="AJ52" s="98" t="str">
        <f t="shared" si="39"/>
        <v>1+0,000127012443662129i</v>
      </c>
      <c r="AK52" s="98">
        <f t="shared" si="55"/>
        <v>1.0000000080660805</v>
      </c>
      <c r="AL52" s="98">
        <f t="shared" si="56"/>
        <v>1.2701244297913395E-4</v>
      </c>
      <c r="AM52" s="98" t="str">
        <f t="shared" si="40"/>
        <v>1+0,00989720041767206i</v>
      </c>
      <c r="AN52" s="98">
        <f t="shared" si="57"/>
        <v>1.0000489760887252</v>
      </c>
      <c r="AO52" s="98">
        <f t="shared" si="58"/>
        <v>9.8968772779731342E-3</v>
      </c>
      <c r="AP52" s="168" t="str">
        <f t="shared" si="59"/>
        <v>-2,63730186184012+269,933923904276i</v>
      </c>
      <c r="AQ52" s="98">
        <f t="shared" si="60"/>
        <v>48.625563899372686</v>
      </c>
      <c r="AR52" s="169">
        <f t="shared" si="61"/>
        <v>90.559772021458429</v>
      </c>
      <c r="AS52" s="168" t="str">
        <f t="shared" si="62"/>
        <v>3627,60782867189+32172,4102785919i</v>
      </c>
      <c r="AT52" s="190">
        <f t="shared" si="63"/>
        <v>90.204539008604911</v>
      </c>
      <c r="AU52" s="169">
        <f t="shared" si="64"/>
        <v>83.56677230280394</v>
      </c>
      <c r="AV52" s="225"/>
      <c r="AX52">
        <f t="shared" si="65"/>
        <v>0</v>
      </c>
      <c r="AY52">
        <f t="shared" si="66"/>
        <v>0</v>
      </c>
    </row>
    <row r="53" spans="1:51" ht="15.75" x14ac:dyDescent="0.25">
      <c r="A53" s="212" t="s">
        <v>261</v>
      </c>
      <c r="N53" s="170">
        <v>35</v>
      </c>
      <c r="O53" s="199">
        <f t="shared" si="41"/>
        <v>22.387211385683404</v>
      </c>
      <c r="P53" s="189" t="str">
        <f t="shared" si="32"/>
        <v>120,833333333333</v>
      </c>
      <c r="Q53" s="160" t="str">
        <f t="shared" si="33"/>
        <v>1+0,125424506235465i</v>
      </c>
      <c r="R53" s="160">
        <f t="shared" si="42"/>
        <v>1.0078349600824583</v>
      </c>
      <c r="S53" s="160">
        <f t="shared" si="43"/>
        <v>0.12477294805594331</v>
      </c>
      <c r="T53" s="160" t="str">
        <f t="shared" si="34"/>
        <v>1+8,43977985883498E-06i</v>
      </c>
      <c r="U53" s="160">
        <f t="shared" si="44"/>
        <v>1.0000000000356151</v>
      </c>
      <c r="V53" s="160">
        <f t="shared" si="45"/>
        <v>8.4397798586345925E-6</v>
      </c>
      <c r="W53" s="98" t="str">
        <f t="shared" si="35"/>
        <v>1-0,0000722445155916275i</v>
      </c>
      <c r="X53" s="160">
        <f t="shared" si="46"/>
        <v>1.000000002609635</v>
      </c>
      <c r="Y53" s="160">
        <f t="shared" si="47"/>
        <v>-7.2244515465939635E-5</v>
      </c>
      <c r="Z53" s="98" t="str">
        <f t="shared" si="36"/>
        <v>0,999999999585796+0,0000279829732991574i</v>
      </c>
      <c r="AA53" s="160">
        <f t="shared" si="48"/>
        <v>0.99999999997731925</v>
      </c>
      <c r="AB53" s="160">
        <f t="shared" si="49"/>
        <v>2.7982973303444067E-5</v>
      </c>
      <c r="AC53" s="171" t="str">
        <f t="shared" si="50"/>
        <v>118,960537355637-14,9316576741772i</v>
      </c>
      <c r="AD53" s="190">
        <f t="shared" si="51"/>
        <v>41.575946762545115</v>
      </c>
      <c r="AE53" s="169">
        <f t="shared" si="52"/>
        <v>-7.1542223693424143</v>
      </c>
      <c r="AF53" s="98" t="str">
        <f t="shared" si="37"/>
        <v>-0,0000375877424711299</v>
      </c>
      <c r="AG53" s="98" t="str">
        <f t="shared" si="38"/>
        <v>1,42491616616664E-07i</v>
      </c>
      <c r="AH53" s="98">
        <f t="shared" si="53"/>
        <v>1.4249161661666401E-7</v>
      </c>
      <c r="AI53" s="98">
        <f t="shared" si="54"/>
        <v>1.5707963267948966</v>
      </c>
      <c r="AJ53" s="98" t="str">
        <f t="shared" si="39"/>
        <v>1+0,000129970943531911i</v>
      </c>
      <c r="AK53" s="98">
        <f t="shared" si="55"/>
        <v>1.0000000084462231</v>
      </c>
      <c r="AL53" s="98">
        <f t="shared" si="56"/>
        <v>1.2997094280006862E-4</v>
      </c>
      <c r="AM53" s="98" t="str">
        <f t="shared" si="40"/>
        <v>1+0,010127735830602i</v>
      </c>
      <c r="AN53" s="98">
        <f t="shared" si="57"/>
        <v>1.0000512842014926</v>
      </c>
      <c r="AO53" s="98">
        <f t="shared" si="58"/>
        <v>1.01273895811353E-2</v>
      </c>
      <c r="AP53" s="168" t="str">
        <f t="shared" si="59"/>
        <v>-2,63730185983501+263,789493065219i</v>
      </c>
      <c r="AQ53" s="98">
        <f t="shared" si="60"/>
        <v>48.425583943078571</v>
      </c>
      <c r="AR53" s="169">
        <f t="shared" si="61"/>
        <v>90.572809894002035</v>
      </c>
      <c r="AS53" s="168" t="str">
        <f t="shared" si="62"/>
        <v>3625,0795620796+31419,9191323641i</v>
      </c>
      <c r="AT53" s="190">
        <f t="shared" si="63"/>
        <v>90.001530705623694</v>
      </c>
      <c r="AU53" s="169">
        <f t="shared" si="64"/>
        <v>83.418587524659628</v>
      </c>
      <c r="AV53" s="225"/>
      <c r="AX53">
        <f t="shared" si="65"/>
        <v>0</v>
      </c>
      <c r="AY53">
        <f t="shared" si="66"/>
        <v>0</v>
      </c>
    </row>
    <row r="54" spans="1:51" x14ac:dyDescent="0.25">
      <c r="A54" s="98" t="s">
        <v>226</v>
      </c>
      <c r="N54" s="170">
        <v>36</v>
      </c>
      <c r="O54" s="199">
        <f t="shared" si="41"/>
        <v>22.908676527677727</v>
      </c>
      <c r="P54" s="189" t="str">
        <f t="shared" si="32"/>
        <v>120,833333333333</v>
      </c>
      <c r="Q54" s="160" t="str">
        <f t="shared" si="33"/>
        <v>1+0,128346018291025i</v>
      </c>
      <c r="R54" s="160">
        <f t="shared" si="42"/>
        <v>1.0082027079963434</v>
      </c>
      <c r="S54" s="160">
        <f t="shared" si="43"/>
        <v>0.12764816753683217</v>
      </c>
      <c r="T54" s="160" t="str">
        <f t="shared" si="34"/>
        <v>1+8,63636758593808E-06i</v>
      </c>
      <c r="U54" s="160">
        <f t="shared" si="44"/>
        <v>1.0000000000372933</v>
      </c>
      <c r="V54" s="160">
        <f t="shared" si="45"/>
        <v>8.6363675857233598E-6</v>
      </c>
      <c r="W54" s="98" t="str">
        <f t="shared" si="35"/>
        <v>1-0,00007392730653563i</v>
      </c>
      <c r="X54" s="160">
        <f t="shared" si="46"/>
        <v>1.0000000027326232</v>
      </c>
      <c r="Y54" s="160">
        <f t="shared" si="47"/>
        <v>-7.3927306400953002E-5</v>
      </c>
      <c r="Z54" s="98" t="str">
        <f t="shared" si="36"/>
        <v>0,999999999566275+0,0000286347804802072i</v>
      </c>
      <c r="AA54" s="160">
        <f t="shared" si="48"/>
        <v>0.99999999997625022</v>
      </c>
      <c r="AB54" s="160">
        <f t="shared" si="49"/>
        <v>2.863478048480045E-5</v>
      </c>
      <c r="AC54" s="171" t="str">
        <f t="shared" si="50"/>
        <v>118,873705554658-15,2683161452037i</v>
      </c>
      <c r="AD54" s="190">
        <f t="shared" si="51"/>
        <v>41.572777955950244</v>
      </c>
      <c r="AE54" s="169">
        <f t="shared" si="52"/>
        <v>-7.3190828097428904</v>
      </c>
      <c r="AF54" s="98" t="str">
        <f t="shared" si="37"/>
        <v>-0,0000375877424711299</v>
      </c>
      <c r="AG54" s="98" t="str">
        <f t="shared" si="38"/>
        <v>1,45810672742588E-07i</v>
      </c>
      <c r="AH54" s="98">
        <f t="shared" si="53"/>
        <v>1.45810672742588E-7</v>
      </c>
      <c r="AI54" s="98">
        <f t="shared" si="54"/>
        <v>1.5707963267948966</v>
      </c>
      <c r="AJ54" s="98" t="str">
        <f t="shared" si="39"/>
        <v>1+0,000132998355716322i</v>
      </c>
      <c r="AK54" s="98">
        <f t="shared" si="55"/>
        <v>1.0000000088442813</v>
      </c>
      <c r="AL54" s="98">
        <f t="shared" si="56"/>
        <v>1.3299835493213875E-4</v>
      </c>
      <c r="AM54" s="98" t="str">
        <f t="shared" si="40"/>
        <v>1+0,0103636411031257i</v>
      </c>
      <c r="AN54" s="98">
        <f t="shared" si="57"/>
        <v>1.0000537010865538</v>
      </c>
      <c r="AO54" s="98">
        <f t="shared" si="58"/>
        <v>1.0363270091213701E-2</v>
      </c>
      <c r="AP54" s="168" t="str">
        <f t="shared" si="59"/>
        <v>-2,63730185773541+257,784926907054i</v>
      </c>
      <c r="AQ54" s="98">
        <f t="shared" si="60"/>
        <v>48.225604931316106</v>
      </c>
      <c r="AR54" s="169">
        <f t="shared" si="61"/>
        <v>90.5861513937609</v>
      </c>
      <c r="AS54" s="168" t="str">
        <f t="shared" si="62"/>
        <v>3622,43591698994+30684,1166561124i</v>
      </c>
      <c r="AT54" s="190">
        <f t="shared" si="63"/>
        <v>89.798382887266342</v>
      </c>
      <c r="AU54" s="169">
        <f t="shared" si="64"/>
        <v>83.26706858401802</v>
      </c>
      <c r="AV54" s="225"/>
      <c r="AX54">
        <f t="shared" si="65"/>
        <v>0</v>
      </c>
      <c r="AY54">
        <f t="shared" si="66"/>
        <v>0</v>
      </c>
    </row>
    <row r="55" spans="1:51" x14ac:dyDescent="0.25">
      <c r="A55" s="98" t="s">
        <v>224</v>
      </c>
      <c r="B55" s="187">
        <f>RFBT</f>
        <v>130000</v>
      </c>
      <c r="C55" s="206" t="s">
        <v>36</v>
      </c>
      <c r="E55" s="98" t="s">
        <v>227</v>
      </c>
      <c r="N55" s="170">
        <v>37</v>
      </c>
      <c r="O55" s="199">
        <f t="shared" si="41"/>
        <v>23.442288153199236</v>
      </c>
      <c r="P55" s="189" t="str">
        <f t="shared" si="32"/>
        <v>120,833333333333</v>
      </c>
      <c r="Q55" s="160" t="str">
        <f t="shared" si="33"/>
        <v>1+0,131335581104343i</v>
      </c>
      <c r="R55" s="160">
        <f t="shared" si="42"/>
        <v>1.0085876436205312</v>
      </c>
      <c r="S55" s="160">
        <f t="shared" si="43"/>
        <v>0.13058816398377898</v>
      </c>
      <c r="T55" s="160" t="str">
        <f t="shared" si="34"/>
        <v>1+0,0000088375344294511i</v>
      </c>
      <c r="U55" s="160">
        <f t="shared" si="44"/>
        <v>1.000000000039051</v>
      </c>
      <c r="V55" s="160">
        <f t="shared" si="45"/>
        <v>8.837534429221023E-6</v>
      </c>
      <c r="W55" s="98" t="str">
        <f t="shared" si="35"/>
        <v>1-0,0000756492947161015i</v>
      </c>
      <c r="X55" s="160">
        <f t="shared" si="46"/>
        <v>1.0000000028614078</v>
      </c>
      <c r="Y55" s="160">
        <f t="shared" si="47"/>
        <v>-7.5649294571792516E-5</v>
      </c>
      <c r="Z55" s="98" t="str">
        <f t="shared" si="36"/>
        <v>0,999999999545834+0,0000293017702008938i</v>
      </c>
      <c r="AA55" s="160">
        <f t="shared" si="48"/>
        <v>0.99999999997513078</v>
      </c>
      <c r="AB55" s="160">
        <f t="shared" si="49"/>
        <v>2.9301770205815565E-5</v>
      </c>
      <c r="AC55" s="171" t="str">
        <f t="shared" si="50"/>
        <v>118,782917155-15,6120371680875i</v>
      </c>
      <c r="AD55" s="190">
        <f t="shared" si="51"/>
        <v>41.569462284359339</v>
      </c>
      <c r="AE55" s="169">
        <f t="shared" si="52"/>
        <v>-7.4876575502759115</v>
      </c>
      <c r="AF55" s="98" t="str">
        <f t="shared" si="37"/>
        <v>-0,0000375877424711299</v>
      </c>
      <c r="AG55" s="98" t="str">
        <f t="shared" si="38"/>
        <v>1,49207039617233E-07i</v>
      </c>
      <c r="AH55" s="98">
        <f t="shared" si="53"/>
        <v>1.4920703961723299E-7</v>
      </c>
      <c r="AI55" s="98">
        <f t="shared" si="54"/>
        <v>1.5707963267948966</v>
      </c>
      <c r="AJ55" s="98" t="str">
        <f t="shared" si="39"/>
        <v>1+0,000136096285389375i</v>
      </c>
      <c r="AK55" s="98">
        <f t="shared" si="55"/>
        <v>1.0000000092610994</v>
      </c>
      <c r="AL55" s="98">
        <f t="shared" si="56"/>
        <v>1.3609628454910752E-4</v>
      </c>
      <c r="AM55" s="98" t="str">
        <f t="shared" si="40"/>
        <v>1+0,0106050413153413i</v>
      </c>
      <c r="AN55" s="98">
        <f t="shared" si="57"/>
        <v>1.0000562318696384</v>
      </c>
      <c r="AO55" s="98">
        <f t="shared" si="58"/>
        <v>1.0604643770122399E-2</v>
      </c>
      <c r="AP55" s="168" t="str">
        <f t="shared" si="59"/>
        <v>-2,63730185553685+251,917041729321i</v>
      </c>
      <c r="AQ55" s="98">
        <f t="shared" si="60"/>
        <v>48.025626908590013</v>
      </c>
      <c r="AR55" s="169">
        <f t="shared" si="61"/>
        <v>90.599803588555631</v>
      </c>
      <c r="AS55" s="168" t="str">
        <f t="shared" si="62"/>
        <v>3619,67181093385+29964,6147522587i</v>
      </c>
      <c r="AT55" s="190">
        <f t="shared" si="63"/>
        <v>89.595089192949331</v>
      </c>
      <c r="AU55" s="169">
        <f t="shared" si="64"/>
        <v>83.112146038279732</v>
      </c>
      <c r="AV55" s="225"/>
      <c r="AX55">
        <f t="shared" si="65"/>
        <v>0</v>
      </c>
      <c r="AY55">
        <f t="shared" si="66"/>
        <v>0</v>
      </c>
    </row>
    <row r="56" spans="1:51" x14ac:dyDescent="0.25">
      <c r="A56" s="98" t="s">
        <v>225</v>
      </c>
      <c r="B56" s="187">
        <f>RFBB</f>
        <v>2490</v>
      </c>
      <c r="C56" s="206" t="s">
        <v>36</v>
      </c>
      <c r="E56" s="98" t="s">
        <v>228</v>
      </c>
      <c r="N56" s="170">
        <v>38</v>
      </c>
      <c r="O56" s="199">
        <f t="shared" si="41"/>
        <v>23.988329190194907</v>
      </c>
      <c r="P56" s="189" t="str">
        <f t="shared" si="32"/>
        <v>120,833333333333</v>
      </c>
      <c r="Q56" s="160" t="str">
        <f t="shared" si="33"/>
        <v>1+0,134394779781195i</v>
      </c>
      <c r="R56" s="160">
        <f t="shared" si="42"/>
        <v>1.0089905633019745</v>
      </c>
      <c r="S56" s="160">
        <f t="shared" si="43"/>
        <v>0.13359429281708063</v>
      </c>
      <c r="T56" s="160" t="str">
        <f t="shared" si="34"/>
        <v>1+9,04338705069718E-06i</v>
      </c>
      <c r="U56" s="160">
        <f t="shared" si="44"/>
        <v>1.0000000000408913</v>
      </c>
      <c r="V56" s="160">
        <f t="shared" si="45"/>
        <v>9.0433870504506494E-6</v>
      </c>
      <c r="W56" s="98" t="str">
        <f t="shared" si="35"/>
        <v>1-0,0000774113931539679i</v>
      </c>
      <c r="X56" s="160">
        <f t="shared" si="46"/>
        <v>1.0000000029962619</v>
      </c>
      <c r="Y56" s="160">
        <f t="shared" si="47"/>
        <v>-7.7411392999338023E-5</v>
      </c>
      <c r="Z56" s="98" t="str">
        <f t="shared" si="36"/>
        <v>0,99999999952443+0,0000299842961079956i</v>
      </c>
      <c r="AA56" s="160">
        <f t="shared" si="48"/>
        <v>0.99999999997395883</v>
      </c>
      <c r="AB56" s="160">
        <f t="shared" si="49"/>
        <v>2.9984296113269358E-5</v>
      </c>
      <c r="AC56" s="171" t="str">
        <f t="shared" si="50"/>
        <v>118,68799843543-15,9629316489168i</v>
      </c>
      <c r="AD56" s="190">
        <f t="shared" si="51"/>
        <v>41.565993060997819</v>
      </c>
      <c r="AE56" s="169">
        <f t="shared" si="52"/>
        <v>-7.6600243172671405</v>
      </c>
      <c r="AF56" s="98" t="str">
        <f t="shared" si="37"/>
        <v>-0,0000375877424711299</v>
      </c>
      <c r="AG56" s="98" t="str">
        <f t="shared" si="38"/>
        <v>1,52682518039271E-07i</v>
      </c>
      <c r="AH56" s="98">
        <f t="shared" si="53"/>
        <v>1.5268251803927101E-7</v>
      </c>
      <c r="AI56" s="98">
        <f t="shared" si="54"/>
        <v>1.5707963267948966</v>
      </c>
      <c r="AJ56" s="98" t="str">
        <f t="shared" si="39"/>
        <v>1+0,000139266375114389i</v>
      </c>
      <c r="AK56" s="98">
        <f t="shared" si="55"/>
        <v>1.0000000096975616</v>
      </c>
      <c r="AL56" s="98">
        <f t="shared" si="56"/>
        <v>1.3926637421402617E-4</v>
      </c>
      <c r="AM56" s="98" t="str">
        <f t="shared" si="40"/>
        <v>1+0,0108520644608366i</v>
      </c>
      <c r="AN56" s="98">
        <f t="shared" si="57"/>
        <v>1.000058881917991</v>
      </c>
      <c r="AO56" s="98">
        <f t="shared" si="58"/>
        <v>1.085163848481442E-2</v>
      </c>
      <c r="AP56" s="168" t="str">
        <f t="shared" si="59"/>
        <v>-2,63730185323469+246,18272630163i</v>
      </c>
      <c r="AQ56" s="98">
        <f t="shared" si="60"/>
        <v>47.825649921501714</v>
      </c>
      <c r="AR56" s="169">
        <f t="shared" si="61"/>
        <v>90.613773710511055</v>
      </c>
      <c r="AS56" s="168" t="str">
        <f t="shared" si="62"/>
        <v>3616,78195486644+29261,0341033385i</v>
      </c>
      <c r="AT56" s="190">
        <f t="shared" si="63"/>
        <v>89.391642982499548</v>
      </c>
      <c r="AU56" s="169">
        <f t="shared" si="64"/>
        <v>82.953749393243896</v>
      </c>
      <c r="AV56" s="225"/>
      <c r="AX56">
        <f t="shared" si="65"/>
        <v>0</v>
      </c>
      <c r="AY56">
        <f t="shared" si="66"/>
        <v>0</v>
      </c>
    </row>
    <row r="57" spans="1:51" x14ac:dyDescent="0.25">
      <c r="A57" s="98" t="s">
        <v>214</v>
      </c>
      <c r="B57" s="187">
        <f>RCOMP</f>
        <v>72000</v>
      </c>
      <c r="C57" s="206" t="s">
        <v>36</v>
      </c>
      <c r="E57" s="98" t="s">
        <v>221</v>
      </c>
      <c r="N57" s="170">
        <v>39</v>
      </c>
      <c r="O57" s="199">
        <f t="shared" si="41"/>
        <v>24.547089156850316</v>
      </c>
      <c r="P57" s="189" t="str">
        <f t="shared" si="32"/>
        <v>120,833333333333</v>
      </c>
      <c r="Q57" s="160" t="str">
        <f t="shared" si="33"/>
        <v>1+0,137525236349212i</v>
      </c>
      <c r="R57" s="160">
        <f t="shared" si="42"/>
        <v>1.009412299624344</v>
      </c>
      <c r="S57" s="160">
        <f t="shared" si="43"/>
        <v>0.13666793048447407</v>
      </c>
      <c r="T57" s="160" t="str">
        <f t="shared" si="34"/>
        <v>1+9,25403459546092E-06i</v>
      </c>
      <c r="U57" s="160">
        <f t="shared" si="44"/>
        <v>1.0000000000428186</v>
      </c>
      <c r="V57" s="160">
        <f t="shared" si="45"/>
        <v>9.2540345951967582E-6</v>
      </c>
      <c r="W57" s="98" t="str">
        <f t="shared" si="35"/>
        <v>1-0,0000792145361371455i</v>
      </c>
      <c r="X57" s="160">
        <f t="shared" si="46"/>
        <v>1.0000000031374714</v>
      </c>
      <c r="Y57" s="160">
        <f t="shared" si="47"/>
        <v>-7.9214535971456606E-5</v>
      </c>
      <c r="Z57" s="98" t="str">
        <f t="shared" si="36"/>
        <v>0,999999999502017+0,0000306827200857829i</v>
      </c>
      <c r="AA57" s="160">
        <f t="shared" si="48"/>
        <v>0.99999999997273159</v>
      </c>
      <c r="AB57" s="160">
        <f t="shared" si="49"/>
        <v>3.0682720091433837E-5</v>
      </c>
      <c r="AC57" s="171" t="str">
        <f t="shared" si="50"/>
        <v>118,588768668114-16,3211094953903i</v>
      </c>
      <c r="AD57" s="190">
        <f t="shared" si="51"/>
        <v>41.56236330599932</v>
      </c>
      <c r="AE57" s="169">
        <f t="shared" si="52"/>
        <v>-7.8362620433744219</v>
      </c>
      <c r="AF57" s="98" t="str">
        <f t="shared" si="37"/>
        <v>-0,0000375877424711299</v>
      </c>
      <c r="AG57" s="98" t="str">
        <f t="shared" si="38"/>
        <v>1,56238950753366E-07i</v>
      </c>
      <c r="AH57" s="98">
        <f t="shared" si="53"/>
        <v>1.5623895075336601E-7</v>
      </c>
      <c r="AI57" s="98">
        <f t="shared" si="54"/>
        <v>1.5707963267948966</v>
      </c>
      <c r="AJ57" s="98" t="str">
        <f t="shared" si="39"/>
        <v>1+0,000142510305714897i</v>
      </c>
      <c r="AK57" s="98">
        <f t="shared" si="55"/>
        <v>1.0000000101545936</v>
      </c>
      <c r="AL57" s="98">
        <f t="shared" si="56"/>
        <v>1.4251030475014083E-4</v>
      </c>
      <c r="AM57" s="98" t="str">
        <f t="shared" si="40"/>
        <v>1+0,0111048415145531i</v>
      </c>
      <c r="AN57" s="98">
        <f t="shared" si="57"/>
        <v>1.000061656851748</v>
      </c>
      <c r="AO57" s="98">
        <f t="shared" si="58"/>
        <v>1.1104385074541617E-2</v>
      </c>
      <c r="AP57" s="168" t="str">
        <f t="shared" si="59"/>
        <v>-2,63730185082402+240,578940214037i</v>
      </c>
      <c r="AQ57" s="98">
        <f t="shared" si="60"/>
        <v>47.625674018847775</v>
      </c>
      <c r="AR57" s="169">
        <f t="shared" si="61"/>
        <v>90.62806915985999</v>
      </c>
      <c r="AS57" s="168" t="str">
        <f t="shared" si="62"/>
        <v>3613,7608464229+28573,0039797422i</v>
      </c>
      <c r="AT57" s="190">
        <f t="shared" si="63"/>
        <v>89.188037324847116</v>
      </c>
      <c r="AU57" s="169">
        <f t="shared" si="64"/>
        <v>82.791807116485572</v>
      </c>
      <c r="AV57" s="225"/>
      <c r="AX57">
        <f t="shared" si="65"/>
        <v>0</v>
      </c>
      <c r="AY57">
        <f t="shared" si="66"/>
        <v>0</v>
      </c>
    </row>
    <row r="58" spans="1:51" x14ac:dyDescent="0.25">
      <c r="A58" s="98" t="s">
        <v>219</v>
      </c>
      <c r="B58" s="187">
        <f>CCOMP</f>
        <v>1.0000000000000001E-9</v>
      </c>
      <c r="C58" s="206" t="s">
        <v>193</v>
      </c>
      <c r="E58" s="98" t="s">
        <v>222</v>
      </c>
      <c r="N58" s="170">
        <v>40</v>
      </c>
      <c r="O58" s="199">
        <f t="shared" si="41"/>
        <v>25.118864315095799</v>
      </c>
      <c r="P58" s="189" t="str">
        <f t="shared" si="32"/>
        <v>120,833333333333</v>
      </c>
      <c r="Q58" s="160" t="str">
        <f t="shared" si="33"/>
        <v>1+0,140728610617903i</v>
      </c>
      <c r="R58" s="160">
        <f t="shared" si="42"/>
        <v>1.0098537229947937</v>
      </c>
      <c r="S58" s="160">
        <f t="shared" si="43"/>
        <v>0.13981047424751025</v>
      </c>
      <c r="T58" s="160" t="str">
        <f t="shared" si="34"/>
        <v>1+9,46958875185886E-06i</v>
      </c>
      <c r="U58" s="160">
        <f t="shared" si="44"/>
        <v>1.0000000000448366</v>
      </c>
      <c r="V58" s="160">
        <f t="shared" si="45"/>
        <v>9.469588751575804E-6</v>
      </c>
      <c r="W58" s="98" t="str">
        <f t="shared" si="35"/>
        <v>1-0,0000810596797159119i</v>
      </c>
      <c r="X58" s="160">
        <f t="shared" si="46"/>
        <v>1.0000000032853358</v>
      </c>
      <c r="Y58" s="160">
        <f t="shared" si="47"/>
        <v>-8.1059679538373052E-5</v>
      </c>
      <c r="Z58" s="98" t="str">
        <f t="shared" si="36"/>
        <v>0,999999999478548+0,0000313974124478937i</v>
      </c>
      <c r="AA58" s="160">
        <f t="shared" si="48"/>
        <v>0.99999999997144662</v>
      </c>
      <c r="AB58" s="160">
        <f t="shared" si="49"/>
        <v>3.139741245394878E-5</v>
      </c>
      <c r="AC58" s="171" t="str">
        <f t="shared" si="50"/>
        <v>118,485039895259-16,6866793667947i</v>
      </c>
      <c r="AD58" s="190">
        <f t="shared" si="51"/>
        <v>41.558565734632481</v>
      </c>
      <c r="AE58" s="169">
        <f t="shared" si="52"/>
        <v>-8.0164508553831233</v>
      </c>
      <c r="AF58" s="98" t="str">
        <f t="shared" si="37"/>
        <v>-0,0000375877424711299</v>
      </c>
      <c r="AG58" s="98" t="str">
        <f t="shared" si="38"/>
        <v>1,59878223427217E-07i</v>
      </c>
      <c r="AH58" s="98">
        <f t="shared" si="53"/>
        <v>1.5987822342721699E-7</v>
      </c>
      <c r="AI58" s="98">
        <f t="shared" si="54"/>
        <v>1.5707963267948966</v>
      </c>
      <c r="AJ58" s="98" t="str">
        <f t="shared" si="39"/>
        <v>1+0,000145829797165842i</v>
      </c>
      <c r="AK58" s="98">
        <f t="shared" si="55"/>
        <v>1.0000000106331648</v>
      </c>
      <c r="AL58" s="98">
        <f t="shared" si="56"/>
        <v>1.4582979613208716E-4</v>
      </c>
      <c r="AM58" s="98" t="str">
        <f t="shared" si="40"/>
        <v>1+0,0113635065022306i</v>
      </c>
      <c r="AN58" s="98">
        <f t="shared" si="57"/>
        <v>1.0000645625558513</v>
      </c>
      <c r="AO58" s="98">
        <f t="shared" si="58"/>
        <v>1.1363017419651901E-2</v>
      </c>
      <c r="AP58" s="168" t="str">
        <f t="shared" si="59"/>
        <v>-2,63730184829975+235,102712264985i</v>
      </c>
      <c r="AQ58" s="98">
        <f t="shared" si="60"/>
        <v>47.425699251723444</v>
      </c>
      <c r="AR58" s="169">
        <f t="shared" si="61"/>
        <v>90.642697508834061</v>
      </c>
      <c r="AS58" s="168" t="str">
        <f t="shared" si="62"/>
        <v>3610,60276311796+27900,1620525364i</v>
      </c>
      <c r="AT58" s="190">
        <f t="shared" si="63"/>
        <v>88.984264986355939</v>
      </c>
      <c r="AU58" s="169">
        <f t="shared" si="64"/>
        <v>82.626246653450949</v>
      </c>
      <c r="AV58" s="225"/>
      <c r="AX58">
        <f t="shared" si="65"/>
        <v>0</v>
      </c>
      <c r="AY58">
        <f t="shared" si="66"/>
        <v>0</v>
      </c>
    </row>
    <row r="59" spans="1:51" x14ac:dyDescent="0.25">
      <c r="A59" s="98" t="s">
        <v>220</v>
      </c>
      <c r="B59" s="187">
        <f>CHF</f>
        <v>1.3E-11</v>
      </c>
      <c r="C59" s="206" t="s">
        <v>193</v>
      </c>
      <c r="E59" s="98" t="s">
        <v>223</v>
      </c>
      <c r="N59" s="170">
        <v>41</v>
      </c>
      <c r="O59" s="199">
        <f t="shared" si="41"/>
        <v>25.703957827688647</v>
      </c>
      <c r="P59" s="189" t="str">
        <f t="shared" si="32"/>
        <v>120,833333333333</v>
      </c>
      <c r="Q59" s="160" t="str">
        <f t="shared" si="33"/>
        <v>1+0,144006601058707i</v>
      </c>
      <c r="R59" s="160">
        <f t="shared" si="42"/>
        <v>1.010315743294383</v>
      </c>
      <c r="S59" s="160">
        <f t="shared" si="43"/>
        <v>0.14302334191855268</v>
      </c>
      <c r="T59" s="160" t="str">
        <f t="shared" si="34"/>
        <v>1+0,0000096901638095578i</v>
      </c>
      <c r="U59" s="160">
        <f t="shared" si="44"/>
        <v>1.0000000000469496</v>
      </c>
      <c r="V59" s="160">
        <f t="shared" si="45"/>
        <v>9.6901638092544998E-6</v>
      </c>
      <c r="W59" s="98" t="str">
        <f t="shared" si="35"/>
        <v>1-0,0000829478022098148i</v>
      </c>
      <c r="X59" s="160">
        <f t="shared" si="46"/>
        <v>1.0000000034401688</v>
      </c>
      <c r="Y59" s="160">
        <f t="shared" si="47"/>
        <v>-8.2947802019578507E-5</v>
      </c>
      <c r="Z59" s="98" t="str">
        <f t="shared" si="36"/>
        <v>0,999999999453972+0,0000321287521336781i</v>
      </c>
      <c r="AA59" s="160">
        <f t="shared" si="48"/>
        <v>0.99999999997010025</v>
      </c>
      <c r="AB59" s="160">
        <f t="shared" si="49"/>
        <v>3.2128752140166258E-5</v>
      </c>
      <c r="AC59" s="171" t="str">
        <f t="shared" si="50"/>
        <v>118,376616704536-17,0597484053048i</v>
      </c>
      <c r="AD59" s="190">
        <f t="shared" si="51"/>
        <v>41.554592745157109</v>
      </c>
      <c r="AE59" s="169">
        <f t="shared" si="52"/>
        <v>-8.2006720591747708</v>
      </c>
      <c r="AF59" s="98" t="str">
        <f t="shared" si="37"/>
        <v>-0,0000375877424711299</v>
      </c>
      <c r="AG59" s="98" t="str">
        <f t="shared" si="38"/>
        <v>1,63602265651368E-07i</v>
      </c>
      <c r="AH59" s="98">
        <f t="shared" si="53"/>
        <v>1.6360226565136801E-7</v>
      </c>
      <c r="AI59" s="98">
        <f t="shared" si="54"/>
        <v>1.5707963267948966</v>
      </c>
      <c r="AJ59" s="98" t="str">
        <f t="shared" si="39"/>
        <v>1+0,00014922660950553i</v>
      </c>
      <c r="AK59" s="98">
        <f t="shared" si="55"/>
        <v>1.0000000111342904</v>
      </c>
      <c r="AL59" s="98">
        <f t="shared" si="56"/>
        <v>1.4922660839784173E-4</v>
      </c>
      <c r="AM59" s="98" t="str">
        <f t="shared" si="40"/>
        <v>1+0,0116281965714694i</v>
      </c>
      <c r="AN59" s="98">
        <f t="shared" si="57"/>
        <v>1.0000676051925212</v>
      </c>
      <c r="AO59" s="98">
        <f t="shared" si="58"/>
        <v>1.1627672511957817E-2</v>
      </c>
      <c r="AP59" s="168" t="str">
        <f t="shared" si="59"/>
        <v>-2,63730184565652+229,751138885927i</v>
      </c>
      <c r="AQ59" s="98">
        <f t="shared" si="60"/>
        <v>47.22572567363067</v>
      </c>
      <c r="AR59" s="169">
        <f t="shared" si="61"/>
        <v>90.65766650564322</v>
      </c>
      <c r="AS59" s="168" t="str">
        <f t="shared" si="62"/>
        <v>3607,30175550871+27242,1542112857i</v>
      </c>
      <c r="AT59" s="190">
        <f t="shared" si="63"/>
        <v>88.780318418787786</v>
      </c>
      <c r="AU59" s="169">
        <f t="shared" si="64"/>
        <v>82.456994446468428</v>
      </c>
      <c r="AV59" s="225"/>
      <c r="AX59">
        <f t="shared" si="65"/>
        <v>0</v>
      </c>
      <c r="AY59">
        <f t="shared" si="66"/>
        <v>0</v>
      </c>
    </row>
    <row r="60" spans="1:51" x14ac:dyDescent="0.25">
      <c r="N60" s="170">
        <v>42</v>
      </c>
      <c r="O60" s="199">
        <f t="shared" si="41"/>
        <v>26.302679918953825</v>
      </c>
      <c r="P60" s="189" t="str">
        <f t="shared" si="32"/>
        <v>120,833333333333</v>
      </c>
      <c r="Q60" s="160" t="str">
        <f t="shared" si="33"/>
        <v>1+0,147360945705545i</v>
      </c>
      <c r="R60" s="160">
        <f t="shared" si="42"/>
        <v>1.0107993115941625</v>
      </c>
      <c r="S60" s="160">
        <f t="shared" si="43"/>
        <v>0.14630797154475508</v>
      </c>
      <c r="T60" s="160" t="str">
        <f t="shared" si="34"/>
        <v>1+9,91587672037306E-06i</v>
      </c>
      <c r="U60" s="160">
        <f t="shared" si="44"/>
        <v>1.0000000000491625</v>
      </c>
      <c r="V60" s="160">
        <f t="shared" si="45"/>
        <v>9.9158767200480687E-6</v>
      </c>
      <c r="W60" s="98" t="str">
        <f t="shared" si="35"/>
        <v>1-0,0000848799047263935i</v>
      </c>
      <c r="X60" s="160">
        <f t="shared" si="46"/>
        <v>1.0000000036022991</v>
      </c>
      <c r="Y60" s="160">
        <f t="shared" si="47"/>
        <v>-8.4879904522551638E-5</v>
      </c>
      <c r="Z60" s="98" t="str">
        <f t="shared" si="36"/>
        <v>0,999999999428239+0,000032877126909118i</v>
      </c>
      <c r="AA60" s="160">
        <f t="shared" si="48"/>
        <v>0.9999999999686916</v>
      </c>
      <c r="AB60" s="160">
        <f t="shared" si="49"/>
        <v>3.2877126916070166E-5</v>
      </c>
      <c r="AC60" s="171" t="str">
        <f t="shared" si="50"/>
        <v>118,263296004-17,4404219476221i</v>
      </c>
      <c r="AD60" s="190">
        <f t="shared" si="51"/>
        <v>41.550436406308968</v>
      </c>
      <c r="AE60" s="169">
        <f t="shared" si="52"/>
        <v>-8.3890081216577848</v>
      </c>
      <c r="AF60" s="98" t="str">
        <f t="shared" si="37"/>
        <v>-0,0000375877424711299</v>
      </c>
      <c r="AG60" s="98" t="str">
        <f t="shared" si="38"/>
        <v>1,67413051962299E-07i</v>
      </c>
      <c r="AH60" s="98">
        <f t="shared" si="53"/>
        <v>1.6741305196229901E-7</v>
      </c>
      <c r="AI60" s="98">
        <f t="shared" si="54"/>
        <v>1.5707963267948966</v>
      </c>
      <c r="AJ60" s="98" t="str">
        <f t="shared" si="39"/>
        <v>1+0,000152702543768825i</v>
      </c>
      <c r="AK60" s="98">
        <f t="shared" si="55"/>
        <v>1.0000000116590333</v>
      </c>
      <c r="AL60" s="98">
        <f t="shared" si="56"/>
        <v>1.5270254258191565E-4</v>
      </c>
      <c r="AM60" s="98" t="str">
        <f t="shared" si="40"/>
        <v>1+0,0118990520644477i</v>
      </c>
      <c r="AN60" s="98">
        <f t="shared" si="57"/>
        <v>1.0000707912143181</v>
      </c>
      <c r="AO60" s="98">
        <f t="shared" si="58"/>
        <v>1.1898490526710735E-2</v>
      </c>
      <c r="AP60" s="168" t="str">
        <f t="shared" si="59"/>
        <v>-2,63730184288871+224,521382601823i</v>
      </c>
      <c r="AQ60" s="98">
        <f t="shared" si="60"/>
        <v>47.025753340591727</v>
      </c>
      <c r="AR60" s="169">
        <f t="shared" si="61"/>
        <v>90.672984078546051</v>
      </c>
      <c r="AS60" s="168" t="str">
        <f t="shared" si="62"/>
        <v>3603,85164034185+26598,63438681i</v>
      </c>
      <c r="AT60" s="190">
        <f t="shared" si="63"/>
        <v>88.57618974690071</v>
      </c>
      <c r="AU60" s="169">
        <f t="shared" si="64"/>
        <v>82.283975956888284</v>
      </c>
      <c r="AV60" s="225"/>
      <c r="AX60">
        <f t="shared" si="65"/>
        <v>0</v>
      </c>
      <c r="AY60">
        <f t="shared" si="66"/>
        <v>0</v>
      </c>
    </row>
    <row r="61" spans="1:51" x14ac:dyDescent="0.25">
      <c r="A61" s="98" t="s">
        <v>264</v>
      </c>
      <c r="B61" s="211">
        <f>-(RFBB*gm_ea)/(RFBB+RFBT)</f>
        <v>-3.7587742471129897E-5</v>
      </c>
      <c r="C61" s="98" t="s">
        <v>180</v>
      </c>
      <c r="N61" s="170">
        <v>43</v>
      </c>
      <c r="O61" s="199">
        <f t="shared" si="41"/>
        <v>26.915348039269158</v>
      </c>
      <c r="P61" s="189" t="str">
        <f t="shared" si="32"/>
        <v>120,833333333333</v>
      </c>
      <c r="Q61" s="160" t="str">
        <f t="shared" si="33"/>
        <v>1+0,150793423076349i</v>
      </c>
      <c r="R61" s="160">
        <f t="shared" si="42"/>
        <v>1.0113054219389328</v>
      </c>
      <c r="S61" s="160">
        <f t="shared" si="43"/>
        <v>0.14966582103517823</v>
      </c>
      <c r="T61" s="160" t="str">
        <f t="shared" si="34"/>
        <v>1+0,0000101468471602776i</v>
      </c>
      <c r="U61" s="160">
        <f t="shared" si="44"/>
        <v>1.0000000000514793</v>
      </c>
      <c r="V61" s="160">
        <f t="shared" si="45"/>
        <v>1.0146847159929364E-5</v>
      </c>
      <c r="W61" s="98" t="str">
        <f t="shared" si="35"/>
        <v>1-0,0000868570116919767i</v>
      </c>
      <c r="X61" s="160">
        <f t="shared" si="46"/>
        <v>1.0000000037720702</v>
      </c>
      <c r="Y61" s="160">
        <f t="shared" si="47"/>
        <v>-8.6857011473556208E-5</v>
      </c>
      <c r="Z61" s="98" t="str">
        <f t="shared" si="36"/>
        <v>0,999999999401293+0,0000336429335724256i</v>
      </c>
      <c r="AA61" s="160">
        <f t="shared" si="48"/>
        <v>0.99999999996721656</v>
      </c>
      <c r="AB61" s="160">
        <f t="shared" si="49"/>
        <v>3.3642933579874974E-5</v>
      </c>
      <c r="AC61" s="171" t="str">
        <f t="shared" si="50"/>
        <v>118,144866797276-17,8288032159471i</v>
      </c>
      <c r="AD61" s="190">
        <f t="shared" si="51"/>
        <v>41.546088444411566</v>
      </c>
      <c r="AE61" s="169">
        <f t="shared" si="52"/>
        <v>-8.5815426494415377</v>
      </c>
      <c r="AF61" s="98" t="str">
        <f t="shared" si="37"/>
        <v>-0,0000375877424711299</v>
      </c>
      <c r="AG61" s="98" t="str">
        <f t="shared" si="38"/>
        <v>1,71312602889354E-07i</v>
      </c>
      <c r="AH61" s="98">
        <f t="shared" si="53"/>
        <v>1.71312602889354E-7</v>
      </c>
      <c r="AI61" s="98">
        <f t="shared" si="54"/>
        <v>1.5707963267948966</v>
      </c>
      <c r="AJ61" s="98" t="str">
        <f t="shared" si="39"/>
        <v>1+0,000156259442942084i</v>
      </c>
      <c r="AK61" s="98">
        <f t="shared" si="55"/>
        <v>1.0000000122085067</v>
      </c>
      <c r="AL61" s="98">
        <f t="shared" si="56"/>
        <v>1.5625944167028773E-4</v>
      </c>
      <c r="AM61" s="98" t="str">
        <f t="shared" si="40"/>
        <v>1+0,0121762165923332i</v>
      </c>
      <c r="AN61" s="98">
        <f t="shared" si="57"/>
        <v>1.0000741273778175</v>
      </c>
      <c r="AO61" s="98">
        <f t="shared" si="58"/>
        <v>1.2175614896216142E-2</v>
      </c>
      <c r="AP61" s="168" t="str">
        <f t="shared" si="59"/>
        <v>-2,63730183999046+219,410670526666i</v>
      </c>
      <c r="AQ61" s="98">
        <f t="shared" si="60"/>
        <v>46.825782311267488</v>
      </c>
      <c r="AR61" s="169">
        <f t="shared" si="61"/>
        <v>90.688658340013021</v>
      </c>
      <c r="AS61" s="168" t="str">
        <f t="shared" si="62"/>
        <v>3600,24599370905+25969,2643788002i</v>
      </c>
      <c r="AT61" s="190">
        <f t="shared" si="63"/>
        <v>88.371870755679055</v>
      </c>
      <c r="AU61" s="169">
        <f t="shared" si="64"/>
        <v>82.10711569057149</v>
      </c>
      <c r="AV61" s="225"/>
      <c r="AX61">
        <f t="shared" si="65"/>
        <v>0</v>
      </c>
      <c r="AY61">
        <f t="shared" si="66"/>
        <v>0</v>
      </c>
    </row>
    <row r="62" spans="1:51" x14ac:dyDescent="0.25">
      <c r="A62" s="98" t="s">
        <v>263</v>
      </c>
      <c r="B62" s="211">
        <f>1/(RCOMP*CCOMP)</f>
        <v>13888.888888888889</v>
      </c>
      <c r="E62" s="98" t="s">
        <v>278</v>
      </c>
      <c r="N62" s="170">
        <v>44</v>
      </c>
      <c r="O62" s="199">
        <f t="shared" si="41"/>
        <v>27.542287033381665</v>
      </c>
      <c r="P62" s="189" t="str">
        <f t="shared" si="32"/>
        <v>120,833333333333</v>
      </c>
      <c r="Q62" s="160" t="str">
        <f t="shared" si="33"/>
        <v>1+0,154305853116055i</v>
      </c>
      <c r="R62" s="160">
        <f t="shared" si="42"/>
        <v>1.0118351132007</v>
      </c>
      <c r="S62" s="160">
        <f t="shared" si="43"/>
        <v>0.15309836772701235</v>
      </c>
      <c r="T62" s="160" t="str">
        <f t="shared" si="34"/>
        <v>1+0,000010383197592856i</v>
      </c>
      <c r="U62" s="160">
        <f t="shared" si="44"/>
        <v>1.0000000000539053</v>
      </c>
      <c r="V62" s="160">
        <f t="shared" si="45"/>
        <v>1.0383197592482859E-5</v>
      </c>
      <c r="W62" s="98" t="str">
        <f t="shared" si="35"/>
        <v>1-0,0000888801713948474i</v>
      </c>
      <c r="X62" s="160">
        <f t="shared" si="46"/>
        <v>1.0000000039498425</v>
      </c>
      <c r="Y62" s="160">
        <f t="shared" si="47"/>
        <v>-8.8880171160805624E-5</v>
      </c>
      <c r="Z62" s="98" t="str">
        <f t="shared" si="36"/>
        <v>0,999999999373076+0,0000344265781644301i</v>
      </c>
      <c r="AA62" s="160">
        <f t="shared" si="48"/>
        <v>0.99999999996567068</v>
      </c>
      <c r="AB62" s="160">
        <f t="shared" si="49"/>
        <v>3.4426578172412276E-5</v>
      </c>
      <c r="AC62" s="171" t="str">
        <f t="shared" si="50"/>
        <v>118,021109959916-18,2249929872633i</v>
      </c>
      <c r="AD62" s="190">
        <f t="shared" si="51"/>
        <v>41.541540230117718</v>
      </c>
      <c r="AE62" s="169">
        <f t="shared" si="52"/>
        <v>-8.7783603640220473</v>
      </c>
      <c r="AF62" s="98" t="str">
        <f t="shared" si="37"/>
        <v>-0,0000375877424711299</v>
      </c>
      <c r="AG62" s="98" t="str">
        <f t="shared" si="38"/>
        <v>1,75302986026052E-07i</v>
      </c>
      <c r="AH62" s="98">
        <f t="shared" si="53"/>
        <v>1.75302986026052E-7</v>
      </c>
      <c r="AI62" s="98">
        <f t="shared" si="54"/>
        <v>1.5707963267948966</v>
      </c>
      <c r="AJ62" s="98" t="str">
        <f t="shared" si="39"/>
        <v>1+0,000159899192940329i</v>
      </c>
      <c r="AK62" s="98">
        <f t="shared" si="55"/>
        <v>1.000000012783876</v>
      </c>
      <c r="AL62" s="98">
        <f t="shared" si="56"/>
        <v>1.5989919157757471E-4</v>
      </c>
      <c r="AM62" s="98" t="str">
        <f t="shared" si="40"/>
        <v>1+0,0124598371114272i</v>
      </c>
      <c r="AN62" s="98">
        <f t="shared" si="57"/>
        <v>1.0000776207579307</v>
      </c>
      <c r="AO62" s="98">
        <f t="shared" si="58"/>
        <v>1.2459192385124487E-2</v>
      </c>
      <c r="AP62" s="168" t="str">
        <f t="shared" si="59"/>
        <v>-2,63730183695561+214,416292893266i</v>
      </c>
      <c r="AQ62" s="98">
        <f t="shared" si="60"/>
        <v>46.625812647081951</v>
      </c>
      <c r="AR62" s="169">
        <f t="shared" si="61"/>
        <v>90.70469759098421</v>
      </c>
      <c r="AS62" s="168" t="str">
        <f t="shared" si="62"/>
        <v>3596,47814423794+25353,7136882375i</v>
      </c>
      <c r="AT62" s="190">
        <f t="shared" si="63"/>
        <v>88.167352877199662</v>
      </c>
      <c r="AU62" s="169">
        <f t="shared" si="64"/>
        <v>81.926337226962161</v>
      </c>
      <c r="AV62" s="225"/>
      <c r="AX62">
        <f t="shared" si="65"/>
        <v>0</v>
      </c>
      <c r="AY62">
        <f t="shared" si="66"/>
        <v>0</v>
      </c>
    </row>
    <row r="63" spans="1:51" x14ac:dyDescent="0.25">
      <c r="A63" s="98" t="s">
        <v>268</v>
      </c>
      <c r="B63" s="211">
        <f>(CCOMP+CHF)</f>
        <v>1.0130000000000001E-9</v>
      </c>
      <c r="E63" s="98" t="s">
        <v>279</v>
      </c>
      <c r="N63" s="170">
        <v>45</v>
      </c>
      <c r="O63" s="199">
        <f t="shared" si="41"/>
        <v>28.183829312644548</v>
      </c>
      <c r="P63" s="189" t="str">
        <f t="shared" si="32"/>
        <v>120,833333333333</v>
      </c>
      <c r="Q63" s="160" t="str">
        <f t="shared" si="33"/>
        <v>1+0,157900098161563i</v>
      </c>
      <c r="R63" s="160">
        <f t="shared" si="42"/>
        <v>1.0123894710038381</v>
      </c>
      <c r="S63" s="160">
        <f t="shared" si="43"/>
        <v>0.15660710788667936</v>
      </c>
      <c r="T63" s="160" t="str">
        <f t="shared" si="34"/>
        <v>1+0,0000106250533342359i</v>
      </c>
      <c r="U63" s="160">
        <f t="shared" si="44"/>
        <v>1.000000000056446</v>
      </c>
      <c r="V63" s="160">
        <f t="shared" si="45"/>
        <v>1.0625053333836073E-5</v>
      </c>
      <c r="W63" s="98" t="str">
        <f t="shared" si="35"/>
        <v>1-0,0000909504565410597i</v>
      </c>
      <c r="X63" s="160">
        <f t="shared" si="46"/>
        <v>1.0000000041359927</v>
      </c>
      <c r="Y63" s="160">
        <f t="shared" si="47"/>
        <v>-9.095045629027942E-5</v>
      </c>
      <c r="Z63" s="98" t="str">
        <f t="shared" si="36"/>
        <v>0,99999999934353+0,0000352284761838669i</v>
      </c>
      <c r="AA63" s="160">
        <f t="shared" si="48"/>
        <v>0.99999999996405275</v>
      </c>
      <c r="AB63" s="160">
        <f t="shared" si="49"/>
        <v>3.5228476192419964E-5</v>
      </c>
      <c r="AC63" s="171" t="str">
        <f t="shared" si="50"/>
        <v>117,891798017898-18,6290892398943i</v>
      </c>
      <c r="AD63" s="190">
        <f t="shared" si="51"/>
        <v>41.536782764782188</v>
      </c>
      <c r="AE63" s="169">
        <f t="shared" si="52"/>
        <v>-8.9795470732382352</v>
      </c>
      <c r="AF63" s="98" t="str">
        <f t="shared" si="37"/>
        <v>-0,0000375877424711299</v>
      </c>
      <c r="AG63" s="98" t="str">
        <f t="shared" si="38"/>
        <v>1,7938631712635E-07i</v>
      </c>
      <c r="AH63" s="98">
        <f t="shared" si="53"/>
        <v>1.7938631712635E-7</v>
      </c>
      <c r="AI63" s="98">
        <f t="shared" si="54"/>
        <v>1.5707963267948966</v>
      </c>
      <c r="AJ63" s="98" t="str">
        <f t="shared" si="39"/>
        <v>1+0,000163623723607187i</v>
      </c>
      <c r="AK63" s="98">
        <f t="shared" si="55"/>
        <v>1.0000000133863614</v>
      </c>
      <c r="AL63" s="98">
        <f t="shared" si="56"/>
        <v>1.6362372214696948E-4</v>
      </c>
      <c r="AM63" s="98" t="str">
        <f t="shared" si="40"/>
        <v>1+0,0127500640010831i</v>
      </c>
      <c r="AN63" s="98">
        <f t="shared" si="57"/>
        <v>1.0000812787628972</v>
      </c>
      <c r="AO63" s="98">
        <f t="shared" si="58"/>
        <v>1.2749373167435483E-2</v>
      </c>
      <c r="AP63" s="168" t="str">
        <f t="shared" si="59"/>
        <v>-2,63730183377773+209,535601616492i</v>
      </c>
      <c r="AQ63" s="98">
        <f t="shared" si="60"/>
        <v>46.425844412352077</v>
      </c>
      <c r="AR63" s="169">
        <f t="shared" si="61"/>
        <v>90.721110325224146</v>
      </c>
      <c r="AS63" s="168" t="str">
        <f t="shared" si="62"/>
        <v>3592,54116634861+24751,6593545442i</v>
      </c>
      <c r="AT63" s="190">
        <f t="shared" si="63"/>
        <v>87.962627177134266</v>
      </c>
      <c r="AU63" s="169">
        <f t="shared" si="64"/>
        <v>81.741563251985923</v>
      </c>
      <c r="AV63" s="225"/>
      <c r="AX63">
        <f t="shared" si="65"/>
        <v>0</v>
      </c>
      <c r="AY63">
        <f t="shared" si="66"/>
        <v>0</v>
      </c>
    </row>
    <row r="64" spans="1:51" x14ac:dyDescent="0.25">
      <c r="A64" s="98" t="s">
        <v>269</v>
      </c>
      <c r="B64" s="211">
        <f>(CCOMP+CHF)/(RCOMP*CHF*CCOMP)</f>
        <v>1082264.9572649573</v>
      </c>
      <c r="E64" s="98" t="s">
        <v>280</v>
      </c>
      <c r="N64" s="170">
        <v>46</v>
      </c>
      <c r="O64" s="199">
        <f t="shared" si="41"/>
        <v>28.840315031266066</v>
      </c>
      <c r="P64" s="189" t="str">
        <f t="shared" si="32"/>
        <v>120,833333333333</v>
      </c>
      <c r="Q64" s="160" t="str">
        <f t="shared" si="33"/>
        <v>1+0,16157806392917i</v>
      </c>
      <c r="R64" s="160">
        <f t="shared" si="42"/>
        <v>1.0129696297239612</v>
      </c>
      <c r="S64" s="160">
        <f t="shared" si="43"/>
        <v>0.16019355614138164</v>
      </c>
      <c r="T64" s="160" t="str">
        <f t="shared" si="34"/>
        <v>1+0,0000108725426195329i</v>
      </c>
      <c r="U64" s="160">
        <f t="shared" si="44"/>
        <v>1.0000000000591061</v>
      </c>
      <c r="V64" s="160">
        <f t="shared" si="45"/>
        <v>1.0872542619104478E-5</v>
      </c>
      <c r="W64" s="98" t="str">
        <f t="shared" si="35"/>
        <v>1-0,0000930689648232017i</v>
      </c>
      <c r="X64" s="160">
        <f t="shared" si="46"/>
        <v>1.0000000043309161</v>
      </c>
      <c r="Y64" s="160">
        <f t="shared" si="47"/>
        <v>-9.3068964554485786E-5</v>
      </c>
      <c r="Z64" s="98" t="str">
        <f t="shared" si="36"/>
        <v>0,999999999312592+0,0000360490528076805i</v>
      </c>
      <c r="AA64" s="160">
        <f t="shared" si="48"/>
        <v>0.99999999996235911</v>
      </c>
      <c r="AB64" s="160">
        <f t="shared" si="49"/>
        <v>3.6049052816845244E-5</v>
      </c>
      <c r="AC64" s="171" t="str">
        <f t="shared" si="50"/>
        <v>117,756694929372-19,0411867762817i</v>
      </c>
      <c r="AD64" s="190">
        <f t="shared" si="51"/>
        <v>41.531806666470821</v>
      </c>
      <c r="AE64" s="169">
        <f t="shared" si="52"/>
        <v>-9.1851896387430028</v>
      </c>
      <c r="AF64" s="98" t="str">
        <f t="shared" si="37"/>
        <v>-0,0000375877424711299</v>
      </c>
      <c r="AG64" s="98" t="str">
        <f t="shared" si="38"/>
        <v>1,83564761226447E-07i</v>
      </c>
      <c r="AH64" s="98">
        <f t="shared" si="53"/>
        <v>1.83564761226447E-7</v>
      </c>
      <c r="AI64" s="98">
        <f t="shared" si="54"/>
        <v>1.5707963267948966</v>
      </c>
      <c r="AJ64" s="98" t="str">
        <f t="shared" si="39"/>
        <v>1+0,000167435009738118i</v>
      </c>
      <c r="AK64" s="98">
        <f t="shared" si="55"/>
        <v>1.0000000140172411</v>
      </c>
      <c r="AL64" s="98">
        <f t="shared" si="56"/>
        <v>1.6743500817346674E-4</v>
      </c>
      <c r="AM64" s="98" t="str">
        <f t="shared" si="40"/>
        <v>1+0,0130470511434395i</v>
      </c>
      <c r="AN64" s="98">
        <f t="shared" si="57"/>
        <v>1.0000851091499861</v>
      </c>
      <c r="AO64" s="98">
        <f t="shared" si="58"/>
        <v>1.3046310905251672E-2</v>
      </c>
      <c r="AP64" s="168" t="str">
        <f t="shared" si="59"/>
        <v>-2,6373018304501+204,766008889228i</v>
      </c>
      <c r="AQ64" s="98">
        <f t="shared" si="60"/>
        <v>46.225877674424218</v>
      </c>
      <c r="AR64" s="169">
        <f t="shared" si="61"/>
        <v>90.737905233775336</v>
      </c>
      <c r="AS64" s="168" t="str">
        <f t="shared" si="62"/>
        <v>3588,42787360856+24162,7857974129i</v>
      </c>
      <c r="AT64" s="190">
        <f t="shared" si="63"/>
        <v>87.757684340895011</v>
      </c>
      <c r="AU64" s="169">
        <f t="shared" si="64"/>
        <v>81.552715595032339</v>
      </c>
      <c r="AV64" s="225"/>
      <c r="AX64">
        <f t="shared" si="65"/>
        <v>0</v>
      </c>
      <c r="AY64">
        <f t="shared" si="66"/>
        <v>0</v>
      </c>
    </row>
    <row r="65" spans="1:51" x14ac:dyDescent="0.25">
      <c r="N65" s="170">
        <v>47</v>
      </c>
      <c r="O65" s="199">
        <f t="shared" si="41"/>
        <v>29.512092266663863</v>
      </c>
      <c r="P65" s="189" t="str">
        <f t="shared" si="32"/>
        <v>120,833333333333</v>
      </c>
      <c r="Q65" s="160" t="str">
        <f t="shared" si="33"/>
        <v>1+0,165341700525012i</v>
      </c>
      <c r="R65" s="160">
        <f t="shared" si="42"/>
        <v>1.0135767745624911</v>
      </c>
      <c r="S65" s="160">
        <f t="shared" si="43"/>
        <v>0.16385924483648168</v>
      </c>
      <c r="T65" s="160" t="str">
        <f t="shared" si="34"/>
        <v>1+0,0000111257966708418i</v>
      </c>
      <c r="U65" s="160">
        <f t="shared" si="44"/>
        <v>1.0000000000618918</v>
      </c>
      <c r="V65" s="160">
        <f t="shared" si="45"/>
        <v>1.1125796670382737E-5</v>
      </c>
      <c r="W65" s="98" t="str">
        <f t="shared" si="35"/>
        <v>1-0,0000952368195024062i</v>
      </c>
      <c r="X65" s="160">
        <f t="shared" si="46"/>
        <v>1.0000000045350259</v>
      </c>
      <c r="Y65" s="160">
        <f t="shared" si="47"/>
        <v>-9.5236819214471901E-5</v>
      </c>
      <c r="Z65" s="98" t="str">
        <f t="shared" si="36"/>
        <v>0,999999999280195+0,0000368887431164582i</v>
      </c>
      <c r="AA65" s="160">
        <f t="shared" si="48"/>
        <v>0.99999999996058453</v>
      </c>
      <c r="AB65" s="160">
        <f t="shared" si="49"/>
        <v>3.6888743126278425E-5</v>
      </c>
      <c r="AC65" s="171" t="str">
        <f t="shared" si="50"/>
        <v>117,615555870868-19,4613768209345i</v>
      </c>
      <c r="AD65" s="190">
        <f t="shared" si="51"/>
        <v>41.526602155612423</v>
      </c>
      <c r="AE65" s="169">
        <f t="shared" si="52"/>
        <v>-9.3953759392262199</v>
      </c>
      <c r="AF65" s="98" t="str">
        <f t="shared" si="37"/>
        <v>-0,0000375877424711299</v>
      </c>
      <c r="AG65" s="98" t="str">
        <f t="shared" si="38"/>
        <v>1,87840533792713E-07i</v>
      </c>
      <c r="AH65" s="98">
        <f t="shared" si="53"/>
        <v>1.8784053379271301E-7</v>
      </c>
      <c r="AI65" s="98">
        <f t="shared" si="54"/>
        <v>1.5707963267948966</v>
      </c>
      <c r="AJ65" s="98" t="str">
        <f t="shared" si="39"/>
        <v>1+0,000171335072127475i</v>
      </c>
      <c r="AK65" s="98">
        <f t="shared" si="55"/>
        <v>1.0000000146778534</v>
      </c>
      <c r="AL65" s="98">
        <f t="shared" si="56"/>
        <v>1.7133507045092097E-4</v>
      </c>
      <c r="AM65" s="98" t="str">
        <f t="shared" si="40"/>
        <v>1+0,0133509560050102i</v>
      </c>
      <c r="AN65" s="98">
        <f t="shared" si="57"/>
        <v>1.0000891200419328</v>
      </c>
      <c r="AO65" s="98">
        <f t="shared" si="58"/>
        <v>1.3350162829318868E-2</v>
      </c>
      <c r="AP65" s="168" t="str">
        <f t="shared" si="59"/>
        <v>-2,63730182696563+200,104985810275i</v>
      </c>
      <c r="AQ65" s="98">
        <f t="shared" si="60"/>
        <v>46.025912503816365</v>
      </c>
      <c r="AR65" s="169">
        <f t="shared" si="61"/>
        <v>90.755091209512983</v>
      </c>
      <c r="AS65" s="168" t="str">
        <f t="shared" si="62"/>
        <v>3584,13081222369+23586,7846632528i</v>
      </c>
      <c r="AT65" s="190">
        <f t="shared" si="63"/>
        <v>87.552514659428795</v>
      </c>
      <c r="AU65" s="169">
        <f t="shared" si="64"/>
        <v>81.359715270286785</v>
      </c>
      <c r="AV65" s="225"/>
      <c r="AX65">
        <f t="shared" si="65"/>
        <v>0</v>
      </c>
      <c r="AY65">
        <f t="shared" si="66"/>
        <v>0</v>
      </c>
    </row>
    <row r="66" spans="1:51" x14ac:dyDescent="0.25">
      <c r="N66" s="170">
        <v>48</v>
      </c>
      <c r="O66" s="199">
        <f t="shared" si="41"/>
        <v>30.199517204020164</v>
      </c>
      <c r="P66" s="189" t="str">
        <f t="shared" si="32"/>
        <v>120,833333333333</v>
      </c>
      <c r="Q66" s="160" t="str">
        <f t="shared" si="33"/>
        <v>1+0,169193003479027i</v>
      </c>
      <c r="R66" s="160">
        <f t="shared" si="42"/>
        <v>1.0142121436988685</v>
      </c>
      <c r="S66" s="160">
        <f t="shared" si="43"/>
        <v>0.167605723313861</v>
      </c>
      <c r="T66" s="160" t="str">
        <f t="shared" si="34"/>
        <v>1+0,000011384949766813i</v>
      </c>
      <c r="U66" s="160">
        <f t="shared" si="44"/>
        <v>1.0000000000648086</v>
      </c>
      <c r="V66" s="160">
        <f t="shared" si="45"/>
        <v>1.1384949766321106E-5</v>
      </c>
      <c r="W66" s="98" t="str">
        <f t="shared" si="35"/>
        <v>1-0,0000974551700039193i</v>
      </c>
      <c r="X66" s="160">
        <f t="shared" si="46"/>
        <v>1.0000000047487549</v>
      </c>
      <c r="Y66" s="160">
        <f t="shared" si="47"/>
        <v>-9.7455169695392146E-5</v>
      </c>
      <c r="Z66" s="98" t="str">
        <f t="shared" si="36"/>
        <v>0,999999999246272+0,0000377479923251166i</v>
      </c>
      <c r="AA66" s="160">
        <f t="shared" si="48"/>
        <v>0.99999999995872746</v>
      </c>
      <c r="AB66" s="160">
        <f t="shared" si="49"/>
        <v>3.774799233563914E-5</v>
      </c>
      <c r="AC66" s="171" t="str">
        <f t="shared" si="50"/>
        <v>117,468127029293-19,8897465924918i</v>
      </c>
      <c r="AD66" s="190">
        <f t="shared" si="51"/>
        <v>41.521159040301271</v>
      </c>
      <c r="AE66" s="169">
        <f t="shared" si="52"/>
        <v>-9.6101948291113413</v>
      </c>
      <c r="AF66" s="98" t="str">
        <f t="shared" si="37"/>
        <v>-0,0000375877424711299</v>
      </c>
      <c r="AG66" s="98" t="str">
        <f t="shared" si="38"/>
        <v>1,92215901896359E-07i</v>
      </c>
      <c r="AH66" s="98">
        <f t="shared" si="53"/>
        <v>1.92215901896359E-7</v>
      </c>
      <c r="AI66" s="98">
        <f t="shared" si="54"/>
        <v>1.5707963267948966</v>
      </c>
      <c r="AJ66" s="98" t="str">
        <f t="shared" si="39"/>
        <v>1+0,000175325978639963i</v>
      </c>
      <c r="AK66" s="98">
        <f t="shared" si="55"/>
        <v>1.0000000153695991</v>
      </c>
      <c r="AL66" s="98">
        <f t="shared" si="56"/>
        <v>1.75325976843503E-4</v>
      </c>
      <c r="AM66" s="98" t="str">
        <f t="shared" si="40"/>
        <v>1+0,0136619397201756i</v>
      </c>
      <c r="AN66" s="98">
        <f t="shared" si="57"/>
        <v>1.0000933199441528</v>
      </c>
      <c r="AO66" s="98">
        <f t="shared" si="58"/>
        <v>1.3661089821393036E-2</v>
      </c>
      <c r="AP66" s="168" t="str">
        <f t="shared" si="59"/>
        <v>-2,63730182331695+195,550061043502i</v>
      </c>
      <c r="AQ66" s="98">
        <f t="shared" si="60"/>
        <v>45.825948974367748</v>
      </c>
      <c r="AR66" s="169">
        <f t="shared" si="61"/>
        <v>90.772677351802798</v>
      </c>
      <c r="AS66" s="168" t="str">
        <f t="shared" si="62"/>
        <v>3579,64225470558+23023,3546761978i</v>
      </c>
      <c r="AT66" s="190">
        <f t="shared" si="63"/>
        <v>87.347108014669033</v>
      </c>
      <c r="AU66" s="169">
        <f t="shared" si="64"/>
        <v>81.162482522691462</v>
      </c>
      <c r="AV66" s="225"/>
      <c r="AX66">
        <f t="shared" si="65"/>
        <v>0</v>
      </c>
      <c r="AY66">
        <f t="shared" si="66"/>
        <v>0</v>
      </c>
    </row>
    <row r="67" spans="1:51" x14ac:dyDescent="0.25">
      <c r="N67" s="170">
        <v>49</v>
      </c>
      <c r="O67" s="199">
        <f t="shared" si="41"/>
        <v>30.902954325135919</v>
      </c>
      <c r="P67" s="189" t="str">
        <f t="shared" si="32"/>
        <v>120,833333333333</v>
      </c>
      <c r="Q67" s="160" t="str">
        <f t="shared" si="33"/>
        <v>1+0,173134014803022i</v>
      </c>
      <c r="R67" s="160">
        <f t="shared" si="42"/>
        <v>1.0148770305223254</v>
      </c>
      <c r="S67" s="160">
        <f t="shared" si="43"/>
        <v>0.17143455710626315</v>
      </c>
      <c r="T67" s="160" t="str">
        <f t="shared" si="34"/>
        <v>1+0,0000116501393138481i</v>
      </c>
      <c r="U67" s="160">
        <f t="shared" si="44"/>
        <v>1.0000000000678628</v>
      </c>
      <c r="V67" s="160">
        <f t="shared" si="45"/>
        <v>1.1650139313321025E-5</v>
      </c>
      <c r="W67" s="98" t="str">
        <f t="shared" si="35"/>
        <v>1-0,0000997251925265401i</v>
      </c>
      <c r="X67" s="160">
        <f t="shared" si="46"/>
        <v>1.000000004972557</v>
      </c>
      <c r="Y67" s="160">
        <f t="shared" si="47"/>
        <v>-9.9725192195947306E-5</v>
      </c>
      <c r="Z67" s="98" t="str">
        <f t="shared" si="36"/>
        <v>0,99999999921075+0,0000386272560189595i</v>
      </c>
      <c r="AA67" s="160">
        <f t="shared" si="48"/>
        <v>0.99999999995678235</v>
      </c>
      <c r="AB67" s="160">
        <f t="shared" si="49"/>
        <v>3.8627256030234599E-5</v>
      </c>
      <c r="AC67" s="171" t="str">
        <f t="shared" si="50"/>
        <v>117,314145401199-20,3263788488588i</v>
      </c>
      <c r="AD67" s="190">
        <f t="shared" si="51"/>
        <v>41.515466701261602</v>
      </c>
      <c r="AE67" s="169">
        <f t="shared" si="52"/>
        <v>-9.8297360924385959</v>
      </c>
      <c r="AF67" s="98" t="str">
        <f t="shared" si="37"/>
        <v>-0,0000375877424711299</v>
      </c>
      <c r="AG67" s="98" t="str">
        <f t="shared" si="38"/>
        <v>1,9669318541547E-07i</v>
      </c>
      <c r="AH67" s="98">
        <f t="shared" si="53"/>
        <v>1.9669318541546999E-7</v>
      </c>
      <c r="AI67" s="98">
        <f t="shared" si="54"/>
        <v>1.5707963267948966</v>
      </c>
      <c r="AJ67" s="98" t="str">
        <f t="shared" si="39"/>
        <v>1+0,000179409845307039i</v>
      </c>
      <c r="AK67" s="98">
        <f t="shared" si="55"/>
        <v>1.0000000160939462</v>
      </c>
      <c r="AL67" s="98">
        <f t="shared" si="56"/>
        <v>1.7940984338209743E-4</v>
      </c>
      <c r="AM67" s="98" t="str">
        <f t="shared" si="40"/>
        <v>1+0,0139801671766178i</v>
      </c>
      <c r="AN67" s="98">
        <f t="shared" si="57"/>
        <v>1.0000977177627626</v>
      </c>
      <c r="AO67" s="98">
        <f t="shared" si="58"/>
        <v>1.3979256498470495E-2</v>
      </c>
      <c r="AP67" s="168" t="str">
        <f t="shared" si="59"/>
        <v>-2,6373018194963+191,098819507503i</v>
      </c>
      <c r="AQ67" s="98">
        <f t="shared" si="60"/>
        <v>45.625987163394811</v>
      </c>
      <c r="AR67" s="169">
        <f t="shared" si="61"/>
        <v>90.790672971264286</v>
      </c>
      <c r="AS67" s="168" t="str">
        <f t="shared" si="62"/>
        <v>3574,95419375996+22472,2014936226i</v>
      </c>
      <c r="AT67" s="190">
        <f t="shared" si="63"/>
        <v>87.141453864656441</v>
      </c>
      <c r="AU67" s="169">
        <f t="shared" si="64"/>
        <v>80.96093687882572</v>
      </c>
      <c r="AV67" s="225"/>
      <c r="AX67">
        <f t="shared" si="65"/>
        <v>0</v>
      </c>
      <c r="AY67">
        <f t="shared" si="66"/>
        <v>0</v>
      </c>
    </row>
    <row r="68" spans="1:51" x14ac:dyDescent="0.25">
      <c r="A68" s="214" t="str">
        <f>"Crossover Frequency = "&amp;B68</f>
        <v>Crossover Frequency = 55 kHz</v>
      </c>
      <c r="B68" t="str">
        <f>ROUND(D68,1)&amp;" kHz"</f>
        <v>55 kHz</v>
      </c>
      <c r="C68" s="215"/>
      <c r="D68" s="216">
        <f>AY12</f>
        <v>54.954087385762506</v>
      </c>
      <c r="N68" s="170">
        <v>50</v>
      </c>
      <c r="O68" s="199">
        <f t="shared" si="41"/>
        <v>31.622776601683803</v>
      </c>
      <c r="P68" s="189" t="str">
        <f t="shared" si="32"/>
        <v>120,833333333333</v>
      </c>
      <c r="Q68" s="160" t="str">
        <f t="shared" si="33"/>
        <v>1+0,177166824073364i</v>
      </c>
      <c r="R68" s="160">
        <f t="shared" si="42"/>
        <v>1.0155727859450756</v>
      </c>
      <c r="S68" s="160">
        <f t="shared" si="43"/>
        <v>0.17534732704235562</v>
      </c>
      <c r="T68" s="160" t="str">
        <f t="shared" si="34"/>
        <v>1+0,0000119215059189553i</v>
      </c>
      <c r="U68" s="160">
        <f t="shared" si="44"/>
        <v>1.0000000000710612</v>
      </c>
      <c r="V68" s="160">
        <f t="shared" si="45"/>
        <v>1.1921505918390529E-5</v>
      </c>
      <c r="W68" s="98" t="str">
        <f t="shared" si="35"/>
        <v>1-0,000102048090666257i</v>
      </c>
      <c r="X68" s="160">
        <f t="shared" si="46"/>
        <v>1.0000000052069062</v>
      </c>
      <c r="Y68" s="160">
        <f t="shared" si="47"/>
        <v>-1.0204809031202043E-4</v>
      </c>
      <c r="Z68" s="98" t="str">
        <f t="shared" si="36"/>
        <v>0,999999999173554+0,0000395270003952358i</v>
      </c>
      <c r="AA68" s="160">
        <f t="shared" si="48"/>
        <v>0.99999999995474576</v>
      </c>
      <c r="AB68" s="160">
        <f t="shared" si="49"/>
        <v>3.9527000407317283E-5</v>
      </c>
      <c r="AC68" s="171" t="str">
        <f t="shared" si="50"/>
        <v>117,153338600922-20,7713514043863i</v>
      </c>
      <c r="AD68" s="190">
        <f t="shared" si="51"/>
        <v>41.509514076486617</v>
      </c>
      <c r="AE68" s="169">
        <f t="shared" si="52"/>
        <v>-10.054090391634928</v>
      </c>
      <c r="AF68" s="98" t="str">
        <f t="shared" si="37"/>
        <v>-0,0000375877424711299</v>
      </c>
      <c r="AG68" s="98" t="str">
        <f t="shared" si="38"/>
        <v>2,01274758265029E-07i</v>
      </c>
      <c r="AH68" s="98">
        <f t="shared" si="53"/>
        <v>2.0127475826502899E-7</v>
      </c>
      <c r="AI68" s="98">
        <f t="shared" si="54"/>
        <v>1.5707963267948966</v>
      </c>
      <c r="AJ68" s="98" t="str">
        <f t="shared" si="39"/>
        <v>1+0,000183588837448867i</v>
      </c>
      <c r="AK68" s="98">
        <f t="shared" si="55"/>
        <v>1.0000000168524306</v>
      </c>
      <c r="AL68" s="98">
        <f t="shared" si="56"/>
        <v>1.8358883538625495E-4</v>
      </c>
      <c r="AM68" s="98" t="str">
        <f t="shared" si="40"/>
        <v>1+0,0143058071027464i</v>
      </c>
      <c r="AN68" s="98">
        <f t="shared" si="57"/>
        <v>1.0001023228234505</v>
      </c>
      <c r="AO68" s="98">
        <f t="shared" si="58"/>
        <v>1.4304831298922727E-2</v>
      </c>
      <c r="AP68" s="168" t="str">
        <f t="shared" si="59"/>
        <v>-2,6373018154956+186,7489010951i</v>
      </c>
      <c r="AQ68" s="98">
        <f t="shared" si="60"/>
        <v>45.426027151855294</v>
      </c>
      <c r="AR68" s="169">
        <f t="shared" si="61"/>
        <v>90.809087594641554</v>
      </c>
      <c r="AS68" s="168" t="str">
        <f t="shared" si="62"/>
        <v>3570,05833644572+21933,0375661134i</v>
      </c>
      <c r="AT68" s="190">
        <f t="shared" si="63"/>
        <v>86.93554122834189</v>
      </c>
      <c r="AU68" s="169">
        <f t="shared" si="64"/>
        <v>80.754997203006624</v>
      </c>
      <c r="AV68" s="225"/>
      <c r="AX68">
        <f t="shared" si="65"/>
        <v>0</v>
      </c>
      <c r="AY68">
        <f t="shared" si="66"/>
        <v>0</v>
      </c>
    </row>
    <row r="69" spans="1:51" x14ac:dyDescent="0.25">
      <c r="A69" s="214" t="str">
        <f>"Phase Margin = "&amp;B69</f>
        <v>Phase Margin = 57°</v>
      </c>
      <c r="B69" s="217" t="str">
        <f>ROUND(D69,0)&amp;"°"</f>
        <v>57°</v>
      </c>
      <c r="C69" s="218"/>
      <c r="D69" s="23">
        <f>AY14</f>
        <v>57.379173393152087</v>
      </c>
      <c r="N69" s="170">
        <v>51</v>
      </c>
      <c r="O69" s="199">
        <f t="shared" si="41"/>
        <v>32.359365692962832</v>
      </c>
      <c r="P69" s="189" t="str">
        <f t="shared" si="32"/>
        <v>120,833333333333</v>
      </c>
      <c r="Q69" s="160" t="str">
        <f t="shared" si="33"/>
        <v>1+0,181293569538911i</v>
      </c>
      <c r="R69" s="160">
        <f t="shared" si="42"/>
        <v>1.0163008207987241</v>
      </c>
      <c r="S69" s="160">
        <f t="shared" si="43"/>
        <v>0.17934562825713249</v>
      </c>
      <c r="T69" s="160" t="str">
        <f t="shared" si="34"/>
        <v>1+0,0000121991934643005i</v>
      </c>
      <c r="U69" s="160">
        <f t="shared" si="44"/>
        <v>1.0000000000744103</v>
      </c>
      <c r="V69" s="160">
        <f t="shared" si="45"/>
        <v>1.2199193463695337E-5</v>
      </c>
      <c r="W69" s="98" t="str">
        <f t="shared" si="35"/>
        <v>1-0,000104425096054412i</v>
      </c>
      <c r="X69" s="160">
        <f t="shared" si="46"/>
        <v>1.0000000054523004</v>
      </c>
      <c r="Y69" s="160">
        <f t="shared" si="47"/>
        <v>-1.0442509567484068E-4</v>
      </c>
      <c r="Z69" s="98" t="str">
        <f t="shared" si="36"/>
        <v>0,999999999134604+0,0000404477025103233i</v>
      </c>
      <c r="AA69" s="160">
        <f t="shared" si="48"/>
        <v>0.99999999995261235</v>
      </c>
      <c r="AB69" s="160">
        <f t="shared" si="49"/>
        <v>4.0447702523268868E-5</v>
      </c>
      <c r="AC69" s="171" t="str">
        <f t="shared" si="50"/>
        <v>116,98542467938-21,2247366180981i</v>
      </c>
      <c r="AD69" s="190">
        <f t="shared" si="51"/>
        <v>41.503289645569915</v>
      </c>
      <c r="AE69" s="169">
        <f t="shared" si="52"/>
        <v>-10.283349210860029</v>
      </c>
      <c r="AF69" s="98" t="str">
        <f t="shared" si="37"/>
        <v>-0,0000375877424711299</v>
      </c>
      <c r="AG69" s="98" t="str">
        <f t="shared" si="38"/>
        <v>2,05963049655607E-07i</v>
      </c>
      <c r="AH69" s="98">
        <f t="shared" si="53"/>
        <v>2.0596304965560699E-7</v>
      </c>
      <c r="AI69" s="98">
        <f t="shared" si="54"/>
        <v>1.5707963267948966</v>
      </c>
      <c r="AJ69" s="98" t="str">
        <f t="shared" si="39"/>
        <v>1+0,000187865170822396i</v>
      </c>
      <c r="AK69" s="98">
        <f t="shared" si="55"/>
        <v>1.000000017646661</v>
      </c>
      <c r="AL69" s="98">
        <f t="shared" si="56"/>
        <v>1.8786516861226736E-4</v>
      </c>
      <c r="AM69" s="98" t="str">
        <f t="shared" si="40"/>
        <v>1+0,0146390321571606i</v>
      </c>
      <c r="AN69" s="98">
        <f t="shared" si="57"/>
        <v>1.0001071448912353</v>
      </c>
      <c r="AO69" s="98">
        <f t="shared" si="58"/>
        <v>1.4637986570575278E-2</v>
      </c>
      <c r="AP69" s="168" t="str">
        <f t="shared" si="59"/>
        <v>-2,63730181130635+182,497999421972i</v>
      </c>
      <c r="AQ69" s="98">
        <f t="shared" si="60"/>
        <v>45.226069024519113</v>
      </c>
      <c r="AR69" s="169">
        <f t="shared" si="61"/>
        <v>90.827930969784148</v>
      </c>
      <c r="AS69" s="168" t="str">
        <f t="shared" si="62"/>
        <v>3564,9460986578+21405,582001844i</v>
      </c>
      <c r="AT69" s="190">
        <f t="shared" si="63"/>
        <v>86.729358670089013</v>
      </c>
      <c r="AU69" s="169">
        <f t="shared" si="64"/>
        <v>80.54458175892411</v>
      </c>
      <c r="AV69" s="225"/>
      <c r="AX69">
        <f t="shared" si="65"/>
        <v>0</v>
      </c>
      <c r="AY69">
        <f t="shared" si="66"/>
        <v>0</v>
      </c>
    </row>
    <row r="70" spans="1:51" x14ac:dyDescent="0.25">
      <c r="N70" s="170">
        <v>52</v>
      </c>
      <c r="O70" s="199">
        <f t="shared" si="41"/>
        <v>33.113112148259127</v>
      </c>
      <c r="P70" s="189" t="str">
        <f t="shared" si="32"/>
        <v>120,833333333333</v>
      </c>
      <c r="Q70" s="160" t="str">
        <f t="shared" si="33"/>
        <v>1+0,185516439254732i</v>
      </c>
      <c r="R70" s="160">
        <f t="shared" si="42"/>
        <v>1.0170626083156113</v>
      </c>
      <c r="S70" s="160">
        <f t="shared" si="43"/>
        <v>0.18343106910201476</v>
      </c>
      <c r="T70" s="160" t="str">
        <f t="shared" si="34"/>
        <v>1+0,0000124833491834959i</v>
      </c>
      <c r="U70" s="160">
        <f t="shared" si="44"/>
        <v>1.000000000077917</v>
      </c>
      <c r="V70" s="160">
        <f t="shared" si="45"/>
        <v>1.2483349182847458E-5</v>
      </c>
      <c r="W70" s="98" t="str">
        <f t="shared" si="35"/>
        <v>1-0,000106857469010725i</v>
      </c>
      <c r="X70" s="160">
        <f t="shared" si="46"/>
        <v>1.0000000057092593</v>
      </c>
      <c r="Y70" s="160">
        <f t="shared" si="47"/>
        <v>-1.0685746860400701E-4</v>
      </c>
      <c r="Z70" s="98" t="str">
        <f t="shared" si="36"/>
        <v>0,99999999909382+0,0000413898505326707i</v>
      </c>
      <c r="AA70" s="160">
        <f t="shared" si="48"/>
        <v>0.99999999995037969</v>
      </c>
      <c r="AB70" s="160">
        <f t="shared" si="49"/>
        <v>4.1389850546542098E-5</v>
      </c>
      <c r="AC70" s="171" t="str">
        <f t="shared" si="50"/>
        <v>116,810111955419-21,6866008519991i</v>
      </c>
      <c r="AD70" s="190">
        <f t="shared" si="51"/>
        <v>41.496781413746348</v>
      </c>
      <c r="AE70" s="169">
        <f t="shared" si="52"/>
        <v>-10.517604793607116</v>
      </c>
      <c r="AF70" s="98" t="str">
        <f t="shared" si="37"/>
        <v>-0,0000375877424711299</v>
      </c>
      <c r="AG70" s="98" t="str">
        <f t="shared" si="38"/>
        <v>2,10760545381356E-07i</v>
      </c>
      <c r="AH70" s="98">
        <f t="shared" si="53"/>
        <v>2.10760545381356E-7</v>
      </c>
      <c r="AI70" s="98">
        <f t="shared" si="54"/>
        <v>1.5707963267948966</v>
      </c>
      <c r="AJ70" s="98" t="str">
        <f t="shared" si="39"/>
        <v>1+0,000192241112796185i</v>
      </c>
      <c r="AK70" s="98">
        <f t="shared" si="55"/>
        <v>1.0000000184783226</v>
      </c>
      <c r="AL70" s="98">
        <f t="shared" si="56"/>
        <v>1.9224111042798951E-4</v>
      </c>
      <c r="AM70" s="98" t="str">
        <f t="shared" si="40"/>
        <v>1+0,0149800190201951i</v>
      </c>
      <c r="AN70" s="98">
        <f t="shared" si="57"/>
        <v>1.0001121941911544</v>
      </c>
      <c r="AO70" s="98">
        <f t="shared" si="58"/>
        <v>1.4978898660771598E-2</v>
      </c>
      <c r="AP70" s="168" t="str">
        <f t="shared" si="59"/>
        <v>-2,63730180691966+178,343860603783i</v>
      </c>
      <c r="AQ70" s="98">
        <f t="shared" si="60"/>
        <v>45.026112870147877</v>
      </c>
      <c r="AR70" s="169">
        <f t="shared" si="61"/>
        <v>90.84721307073994</v>
      </c>
      <c r="AS70" s="168" t="str">
        <f t="shared" si="62"/>
        <v>3559,60859999229+20889,5604353025i</v>
      </c>
      <c r="AT70" s="190">
        <f t="shared" si="63"/>
        <v>86.522894283894246</v>
      </c>
      <c r="AU70" s="169">
        <f t="shared" si="64"/>
        <v>80.329608277132863</v>
      </c>
      <c r="AV70" s="225"/>
      <c r="AX70">
        <f t="shared" si="65"/>
        <v>0</v>
      </c>
      <c r="AY70">
        <f t="shared" si="66"/>
        <v>0</v>
      </c>
    </row>
    <row r="71" spans="1:51" x14ac:dyDescent="0.25">
      <c r="N71" s="170">
        <v>53</v>
      </c>
      <c r="O71" s="199">
        <f t="shared" si="41"/>
        <v>33.884415613920268</v>
      </c>
      <c r="P71" s="189" t="str">
        <f t="shared" si="32"/>
        <v>120,833333333333</v>
      </c>
      <c r="Q71" s="160" t="str">
        <f t="shared" si="33"/>
        <v>1+0,189837672242244i</v>
      </c>
      <c r="R71" s="160">
        <f t="shared" si="42"/>
        <v>1.0178596866967242</v>
      </c>
      <c r="S71" s="160">
        <f t="shared" si="43"/>
        <v>0.1876052699488899</v>
      </c>
      <c r="T71" s="160" t="str">
        <f t="shared" si="34"/>
        <v>1+0,000012774123739665i</v>
      </c>
      <c r="U71" s="160">
        <f t="shared" si="44"/>
        <v>1.000000000081589</v>
      </c>
      <c r="V71" s="160">
        <f t="shared" si="45"/>
        <v>1.2774123738970181E-5</v>
      </c>
      <c r="W71" s="98" t="str">
        <f t="shared" si="35"/>
        <v>1-0,000109346499211532i</v>
      </c>
      <c r="X71" s="160">
        <f t="shared" si="46"/>
        <v>1.0000000059783285</v>
      </c>
      <c r="Y71" s="160">
        <f t="shared" si="47"/>
        <v>-1.0934649877572581E-4</v>
      </c>
      <c r="Z71" s="98" t="str">
        <f t="shared" si="36"/>
        <v>0,999999999051113+0,0000423539440016296i</v>
      </c>
      <c r="AA71" s="160">
        <f t="shared" si="48"/>
        <v>0.99999999994804134</v>
      </c>
      <c r="AB71" s="160">
        <f t="shared" si="49"/>
        <v>4.2353944016493068E-5</v>
      </c>
      <c r="AC71" s="171" t="str">
        <f t="shared" si="50"/>
        <v>116,627098861814-22,1570038985603i</v>
      </c>
      <c r="AD71" s="190">
        <f t="shared" si="51"/>
        <v>41.489976895666089</v>
      </c>
      <c r="AE71" s="169">
        <f t="shared" si="52"/>
        <v>-10.756950074228893</v>
      </c>
      <c r="AF71" s="98" t="str">
        <f t="shared" si="37"/>
        <v>-0,0000375877424711299</v>
      </c>
      <c r="AG71" s="98" t="str">
        <f t="shared" si="38"/>
        <v>2,15669789138011E-07i</v>
      </c>
      <c r="AH71" s="98">
        <f t="shared" si="53"/>
        <v>2.15669789138011E-7</v>
      </c>
      <c r="AI71" s="98">
        <f t="shared" si="54"/>
        <v>1.5707963267948966</v>
      </c>
      <c r="AJ71" s="98" t="str">
        <f t="shared" si="39"/>
        <v>1+0,00019671898355259i</v>
      </c>
      <c r="AK71" s="98">
        <f t="shared" si="55"/>
        <v>1.0000000193491791</v>
      </c>
      <c r="AL71" s="98">
        <f t="shared" si="56"/>
        <v>1.9671898101502282E-4</v>
      </c>
      <c r="AM71" s="98" t="str">
        <f t="shared" si="40"/>
        <v>1+0,015328948487598i</v>
      </c>
      <c r="AN71" s="98">
        <f t="shared" si="57"/>
        <v>1.0001174814299245</v>
      </c>
      <c r="AO71" s="98">
        <f t="shared" si="58"/>
        <v>1.5327748008463028E-2</v>
      </c>
      <c r="AP71" s="168" t="str">
        <f t="shared" si="59"/>
        <v>-2,63730180232624+174,284282061148i</v>
      </c>
      <c r="AQ71" s="98">
        <f t="shared" si="60"/>
        <v>44.82615878168297</v>
      </c>
      <c r="AR71" s="169">
        <f t="shared" si="61"/>
        <v>90.866944102962705</v>
      </c>
      <c r="AS71" s="168" t="str">
        <f t="shared" si="62"/>
        <v>3554,0366590583+20384,7049003216i</v>
      </c>
      <c r="AT71" s="190">
        <f t="shared" si="63"/>
        <v>86.316135677349052</v>
      </c>
      <c r="AU71" s="169">
        <f t="shared" si="64"/>
        <v>80.109994028733809</v>
      </c>
      <c r="AV71" s="225"/>
      <c r="AX71">
        <f t="shared" si="65"/>
        <v>0</v>
      </c>
      <c r="AY71">
        <f t="shared" si="66"/>
        <v>0</v>
      </c>
    </row>
    <row r="72" spans="1:51" x14ac:dyDescent="0.25">
      <c r="N72" s="170">
        <v>54</v>
      </c>
      <c r="O72" s="199">
        <f t="shared" si="41"/>
        <v>34.67368504525318</v>
      </c>
      <c r="P72" s="189" t="str">
        <f t="shared" si="32"/>
        <v>120,833333333333</v>
      </c>
      <c r="Q72" s="160" t="str">
        <f t="shared" si="33"/>
        <v>1+0,194259559676379i</v>
      </c>
      <c r="R72" s="160">
        <f t="shared" si="42"/>
        <v>1.0186936617676881</v>
      </c>
      <c r="S72" s="160">
        <f t="shared" si="43"/>
        <v>0.19186986188213734</v>
      </c>
      <c r="T72" s="160" t="str">
        <f t="shared" si="34"/>
        <v>1+0,0000130716713053264i</v>
      </c>
      <c r="U72" s="160">
        <f t="shared" si="44"/>
        <v>1.0000000000854343</v>
      </c>
      <c r="V72" s="160">
        <f t="shared" si="45"/>
        <v>1.3071671304581887E-5</v>
      </c>
      <c r="W72" s="98" t="str">
        <f t="shared" si="35"/>
        <v>1-0,000111893506373594i</v>
      </c>
      <c r="X72" s="160">
        <f t="shared" si="46"/>
        <v>1.0000000062600782</v>
      </c>
      <c r="Y72" s="160">
        <f t="shared" si="47"/>
        <v>-1.1189350590661926E-4</v>
      </c>
      <c r="Z72" s="98" t="str">
        <f t="shared" si="36"/>
        <v>0,999999999006393+0,000043340494092319i</v>
      </c>
      <c r="AA72" s="160">
        <f t="shared" si="48"/>
        <v>0.99999999994559219</v>
      </c>
      <c r="AB72" s="160">
        <f t="shared" si="49"/>
        <v>4.3340494108245518E-5</v>
      </c>
      <c r="AC72" s="171" t="str">
        <f t="shared" si="50"/>
        <v>116,436073808169-22,6359983765258i</v>
      </c>
      <c r="AD72" s="190">
        <f t="shared" si="51"/>
        <v>41.482863098927027</v>
      </c>
      <c r="AE72" s="169">
        <f t="shared" si="52"/>
        <v>-11.00147860304533</v>
      </c>
      <c r="AF72" s="98" t="str">
        <f t="shared" si="37"/>
        <v>-0,0000375877424711299</v>
      </c>
      <c r="AG72" s="98" t="str">
        <f t="shared" si="38"/>
        <v>2,20693383871595E-07i</v>
      </c>
      <c r="AH72" s="98">
        <f t="shared" si="53"/>
        <v>2.2069338387159501E-7</v>
      </c>
      <c r="AI72" s="98">
        <f t="shared" si="54"/>
        <v>1.5707963267948966</v>
      </c>
      <c r="AJ72" s="98" t="str">
        <f t="shared" si="39"/>
        <v>1+0,000201301157317958i</v>
      </c>
      <c r="AK72" s="98">
        <f t="shared" si="55"/>
        <v>1.0000000202610777</v>
      </c>
      <c r="AL72" s="98">
        <f t="shared" si="56"/>
        <v>2.0130115459890578E-4</v>
      </c>
      <c r="AM72" s="98" t="str">
        <f t="shared" si="40"/>
        <v>1+0,0156860055663917i</v>
      </c>
      <c r="AN72" s="98">
        <f t="shared" si="57"/>
        <v>1.0001230178186225</v>
      </c>
      <c r="AO72" s="98">
        <f t="shared" si="58"/>
        <v>1.5684719238368328E-2</v>
      </c>
      <c r="AP72" s="168" t="str">
        <f t="shared" si="59"/>
        <v>-2,63730179751633+170,317111351785i</v>
      </c>
      <c r="AQ72" s="98">
        <f t="shared" si="60"/>
        <v>44.626206856441584</v>
      </c>
      <c r="AR72" s="169">
        <f t="shared" si="61"/>
        <v>90.887134508636521</v>
      </c>
      <c r="AS72" s="168" t="str">
        <f t="shared" si="62"/>
        <v>3548,22078930354+19890,7537073576i</v>
      </c>
      <c r="AT72" s="190">
        <f t="shared" si="63"/>
        <v>86.109069955368639</v>
      </c>
      <c r="AU72" s="169">
        <f t="shared" si="64"/>
        <v>79.885655905591221</v>
      </c>
      <c r="AV72" s="225"/>
      <c r="AX72">
        <f t="shared" si="65"/>
        <v>0</v>
      </c>
      <c r="AY72">
        <f t="shared" si="66"/>
        <v>0</v>
      </c>
    </row>
    <row r="73" spans="1:51" x14ac:dyDescent="0.25">
      <c r="N73" s="170">
        <v>55</v>
      </c>
      <c r="O73" s="199">
        <f t="shared" si="41"/>
        <v>35.481338923357555</v>
      </c>
      <c r="P73" s="189" t="str">
        <f t="shared" si="32"/>
        <v>120,833333333333</v>
      </c>
      <c r="Q73" s="160" t="str">
        <f t="shared" si="33"/>
        <v>1+0,198784446100384i</v>
      </c>
      <c r="R73" s="160">
        <f t="shared" si="42"/>
        <v>1.019566209724232</v>
      </c>
      <c r="S73" s="160">
        <f t="shared" si="43"/>
        <v>0.19622648527250761</v>
      </c>
      <c r="T73" s="160" t="str">
        <f t="shared" si="34"/>
        <v>1+0,0000133761496441379i</v>
      </c>
      <c r="U73" s="160">
        <f t="shared" si="44"/>
        <v>1.0000000000894607</v>
      </c>
      <c r="V73" s="160">
        <f t="shared" si="45"/>
        <v>1.3376149643340141E-5</v>
      </c>
      <c r="W73" s="98" t="str">
        <f t="shared" si="35"/>
        <v>1-0,000114499840953821i</v>
      </c>
      <c r="X73" s="160">
        <f t="shared" si="46"/>
        <v>1.0000000065551067</v>
      </c>
      <c r="Y73" s="160">
        <f t="shared" si="47"/>
        <v>-1.1449984045344855E-4</v>
      </c>
      <c r="Z73" s="98" t="str">
        <f t="shared" si="36"/>
        <v>0,999999998959566+0,0000443500238866555i</v>
      </c>
      <c r="AA73" s="160">
        <f t="shared" si="48"/>
        <v>0.99999999994302824</v>
      </c>
      <c r="AB73" s="160">
        <f t="shared" si="49"/>
        <v>4.4350023903721051E-5</v>
      </c>
      <c r="AC73" s="171" t="str">
        <f t="shared" si="50"/>
        <v>116,236715063191-23,1236290942816i</v>
      </c>
      <c r="AD73" s="190">
        <f t="shared" si="51"/>
        <v>41.475426507397685</v>
      </c>
      <c r="AE73" s="169">
        <f t="shared" si="52"/>
        <v>-11.251284464683867</v>
      </c>
      <c r="AF73" s="98" t="str">
        <f t="shared" si="37"/>
        <v>-0,0000375877424711299</v>
      </c>
      <c r="AG73" s="98" t="str">
        <f t="shared" si="38"/>
        <v>2,25833993158529E-07i</v>
      </c>
      <c r="AH73" s="98">
        <f t="shared" si="53"/>
        <v>2.25833993158529E-7</v>
      </c>
      <c r="AI73" s="98">
        <f t="shared" si="54"/>
        <v>1.5707963267948966</v>
      </c>
      <c r="AJ73" s="98" t="str">
        <f t="shared" si="39"/>
        <v>1+0,000205990063621472i</v>
      </c>
      <c r="AK73" s="98">
        <f t="shared" si="55"/>
        <v>1.0000000212159528</v>
      </c>
      <c r="AL73" s="98">
        <f t="shared" si="56"/>
        <v>2.0599006070795505E-4</v>
      </c>
      <c r="AM73" s="98" t="str">
        <f t="shared" si="40"/>
        <v>1+0,0160513795729655i</v>
      </c>
      <c r="AN73" s="98">
        <f t="shared" si="57"/>
        <v>1.0001288150964331</v>
      </c>
      <c r="AO73" s="98">
        <f t="shared" si="58"/>
        <v>1.6050001257243401E-2</v>
      </c>
      <c r="AP73" s="168" t="str">
        <f t="shared" si="59"/>
        <v>-2,63730179247974+166,440245029275i</v>
      </c>
      <c r="AQ73" s="98">
        <f t="shared" si="60"/>
        <v>44.426257196323256</v>
      </c>
      <c r="AR73" s="169">
        <f t="shared" si="61"/>
        <v>90.907794972119504</v>
      </c>
      <c r="AS73" s="168" t="str">
        <f t="shared" si="62"/>
        <v>3542,15119543019+19407,4513249745i</v>
      </c>
      <c r="AT73" s="190">
        <f t="shared" si="63"/>
        <v>85.901683703720948</v>
      </c>
      <c r="AU73" s="169">
        <f t="shared" si="64"/>
        <v>79.656510507435641</v>
      </c>
      <c r="AV73" s="225"/>
      <c r="AX73">
        <f t="shared" si="65"/>
        <v>0</v>
      </c>
      <c r="AY73">
        <f t="shared" si="66"/>
        <v>0</v>
      </c>
    </row>
    <row r="74" spans="1:51" x14ac:dyDescent="0.25">
      <c r="N74" s="170">
        <v>56</v>
      </c>
      <c r="O74" s="199">
        <f t="shared" si="41"/>
        <v>36.307805477010156</v>
      </c>
      <c r="P74" s="189" t="str">
        <f t="shared" si="32"/>
        <v>120,833333333333</v>
      </c>
      <c r="Q74" s="160" t="str">
        <f t="shared" si="33"/>
        <v>1+0,203414730668935i</v>
      </c>
      <c r="R74" s="160">
        <f t="shared" si="42"/>
        <v>1.0204790799683821</v>
      </c>
      <c r="S74" s="160">
        <f t="shared" si="43"/>
        <v>0.20067678822664892</v>
      </c>
      <c r="T74" s="160" t="str">
        <f t="shared" si="34"/>
        <v>1+0,0000136877201945451i</v>
      </c>
      <c r="U74" s="160">
        <f t="shared" si="44"/>
        <v>1.0000000000936768</v>
      </c>
      <c r="V74" s="160">
        <f t="shared" si="45"/>
        <v>1.3687720193690285E-5</v>
      </c>
      <c r="W74" s="98" t="str">
        <f t="shared" si="35"/>
        <v>1-0,000117166884865306i</v>
      </c>
      <c r="X74" s="160">
        <f t="shared" si="46"/>
        <v>1.0000000068640393</v>
      </c>
      <c r="Y74" s="160">
        <f t="shared" si="47"/>
        <v>-1.1716688432914726E-4</v>
      </c>
      <c r="Z74" s="98" t="str">
        <f t="shared" si="36"/>
        <v>0,999999998910532+0,0000453830686506988i</v>
      </c>
      <c r="AA74" s="160">
        <f t="shared" si="48"/>
        <v>0.99999999994034339</v>
      </c>
      <c r="AB74" s="160">
        <f t="shared" si="49"/>
        <v>4.5383068668984868E-5</v>
      </c>
      <c r="AC74" s="171" t="str">
        <f t="shared" si="50"/>
        <v>116,028690658916-23,6199323801095i</v>
      </c>
      <c r="AD74" s="190">
        <f t="shared" si="51"/>
        <v>41.467653064361272</v>
      </c>
      <c r="AE74" s="169">
        <f t="shared" si="52"/>
        <v>-11.506462189296148</v>
      </c>
      <c r="AF74" s="98" t="str">
        <f t="shared" si="37"/>
        <v>-0,0000375877424711299</v>
      </c>
      <c r="AG74" s="98" t="str">
        <f t="shared" si="38"/>
        <v>2,31094342617903E-07i</v>
      </c>
      <c r="AH74" s="98">
        <f t="shared" si="53"/>
        <v>2.3109434261790301E-7</v>
      </c>
      <c r="AI74" s="98">
        <f t="shared" si="54"/>
        <v>1.5707963267948966</v>
      </c>
      <c r="AJ74" s="98" t="str">
        <f t="shared" si="39"/>
        <v>1+0,00021078818858332i</v>
      </c>
      <c r="AK74" s="98">
        <f t="shared" si="55"/>
        <v>1.0000000222158298</v>
      </c>
      <c r="AL74" s="98">
        <f t="shared" si="56"/>
        <v>2.1078818546143034E-4</v>
      </c>
      <c r="AM74" s="98" t="str">
        <f t="shared" si="40"/>
        <v>1+0,0164252642334541i</v>
      </c>
      <c r="AN74" s="98">
        <f t="shared" si="57"/>
        <v>1.000134885555513</v>
      </c>
      <c r="AO74" s="98">
        <f t="shared" si="58"/>
        <v>1.6423787352306686E-2</v>
      </c>
      <c r="AP74" s="168" t="str">
        <f t="shared" si="59"/>
        <v>-2,63730178720579+162,651627527776i</v>
      </c>
      <c r="AQ74" s="98">
        <f t="shared" si="60"/>
        <v>44.226309908024831</v>
      </c>
      <c r="AR74" s="169">
        <f t="shared" si="61"/>
        <v>90.928936425509349</v>
      </c>
      <c r="AS74" s="168" t="str">
        <f t="shared" si="62"/>
        <v>3535,81777047892+18934,5482654693i</v>
      </c>
      <c r="AT74" s="190">
        <f t="shared" si="63"/>
        <v>85.693962972386117</v>
      </c>
      <c r="AU74" s="169">
        <f t="shared" si="64"/>
        <v>79.422474236213219</v>
      </c>
      <c r="AV74" s="225"/>
      <c r="AX74">
        <f t="shared" si="65"/>
        <v>0</v>
      </c>
      <c r="AY74">
        <f t="shared" si="66"/>
        <v>0</v>
      </c>
    </row>
    <row r="75" spans="1:51" x14ac:dyDescent="0.25">
      <c r="N75" s="170">
        <v>57</v>
      </c>
      <c r="O75" s="199">
        <f t="shared" si="41"/>
        <v>37.15352290971726</v>
      </c>
      <c r="P75" s="189" t="str">
        <f t="shared" si="32"/>
        <v>120,833333333333</v>
      </c>
      <c r="Q75" s="160" t="str">
        <f t="shared" si="33"/>
        <v>1+0,208152868420198i</v>
      </c>
      <c r="R75" s="160">
        <f t="shared" si="42"/>
        <v>1.0214340980364598</v>
      </c>
      <c r="S75" s="160">
        <f t="shared" si="43"/>
        <v>0.20522242490589468</v>
      </c>
      <c r="T75" s="160" t="str">
        <f t="shared" si="34"/>
        <v>1+0,0000140065481553777i</v>
      </c>
      <c r="U75" s="160">
        <f t="shared" si="44"/>
        <v>1.0000000000980918</v>
      </c>
      <c r="V75" s="160">
        <f t="shared" si="45"/>
        <v>1.4006548154461749E-5</v>
      </c>
      <c r="W75" s="98" t="str">
        <f t="shared" si="35"/>
        <v>1-0,000119896052210033i</v>
      </c>
      <c r="X75" s="160">
        <f t="shared" si="46"/>
        <v>1.0000000071875317</v>
      </c>
      <c r="Y75" s="160">
        <f t="shared" si="47"/>
        <v>-1.1989605163552855E-4</v>
      </c>
      <c r="Z75" s="98" t="str">
        <f t="shared" si="36"/>
        <v>0,999999998859187+0,0000464401761184564i</v>
      </c>
      <c r="AA75" s="160">
        <f t="shared" si="48"/>
        <v>0.99999999993753197</v>
      </c>
      <c r="AB75" s="160">
        <f t="shared" si="49"/>
        <v>4.6440176138050274E-5</v>
      </c>
      <c r="AC75" s="171" t="str">
        <f t="shared" si="50"/>
        <v>115,811658319755-24,124935378775i</v>
      </c>
      <c r="AD75" s="190">
        <f t="shared" si="51"/>
        <v>41.459528155522719</v>
      </c>
      <c r="AE75" s="169">
        <f t="shared" si="52"/>
        <v>-11.767106656285023</v>
      </c>
      <c r="AF75" s="98" t="str">
        <f t="shared" si="37"/>
        <v>-0,0000375877424711299</v>
      </c>
      <c r="AG75" s="98" t="str">
        <f t="shared" si="38"/>
        <v>2,36477221356628E-07i</v>
      </c>
      <c r="AH75" s="98">
        <f t="shared" si="53"/>
        <v>2.3647722135662799E-7</v>
      </c>
      <c r="AI75" s="98">
        <f t="shared" si="54"/>
        <v>1.5707963267948966</v>
      </c>
      <c r="AJ75" s="98" t="str">
        <f t="shared" si="39"/>
        <v>1+0,000215698076232865i</v>
      </c>
      <c r="AK75" s="98">
        <f t="shared" si="55"/>
        <v>1.0000000232628297</v>
      </c>
      <c r="AL75" s="98">
        <f t="shared" si="56"/>
        <v>2.1569807288769998E-4</v>
      </c>
      <c r="AM75" s="98" t="str">
        <f t="shared" si="40"/>
        <v>1+0,0168078577864533i</v>
      </c>
      <c r="AN75" s="98">
        <f t="shared" si="57"/>
        <v>1.0001412420670241</v>
      </c>
      <c r="AO75" s="98">
        <f t="shared" si="58"/>
        <v>1.6806275291862228E-2</v>
      </c>
      <c r="AP75" s="168" t="str">
        <f t="shared" si="59"/>
        <v>-2,63730178168328+158,949250072141i</v>
      </c>
      <c r="AQ75" s="98">
        <f t="shared" si="60"/>
        <v>44.02636510326645</v>
      </c>
      <c r="AR75" s="169">
        <f t="shared" si="61"/>
        <v>90.950570054333127</v>
      </c>
      <c r="AS75" s="168" t="str">
        <f t="shared" si="62"/>
        <v>3529,21009366876+18471,8009745935i</v>
      </c>
      <c r="AT75" s="190">
        <f t="shared" si="63"/>
        <v>85.485893258789147</v>
      </c>
      <c r="AU75" s="169">
        <f t="shared" si="64"/>
        <v>79.183463398048119</v>
      </c>
      <c r="AV75" s="225"/>
      <c r="AX75">
        <f t="shared" si="65"/>
        <v>0</v>
      </c>
      <c r="AY75">
        <f t="shared" si="66"/>
        <v>0</v>
      </c>
    </row>
    <row r="76" spans="1:51" x14ac:dyDescent="0.25">
      <c r="N76" s="170">
        <v>58</v>
      </c>
      <c r="O76" s="199">
        <f t="shared" si="41"/>
        <v>38.018939632056139</v>
      </c>
      <c r="P76" s="189" t="str">
        <f t="shared" si="32"/>
        <v>120,833333333333</v>
      </c>
      <c r="Q76" s="160" t="str">
        <f t="shared" si="33"/>
        <v>1+0,213001371577526i</v>
      </c>
      <c r="R76" s="160">
        <f t="shared" si="42"/>
        <v>1.0224331686197916</v>
      </c>
      <c r="S76" s="160">
        <f t="shared" si="43"/>
        <v>0.20986505370787351</v>
      </c>
      <c r="T76" s="160" t="str">
        <f t="shared" si="34"/>
        <v>1+0,000014332802573441i</v>
      </c>
      <c r="U76" s="160">
        <f t="shared" si="44"/>
        <v>1.0000000001027147</v>
      </c>
      <c r="V76" s="160">
        <f t="shared" si="45"/>
        <v>1.4332802572459541E-5</v>
      </c>
      <c r="W76" s="98" t="str">
        <f t="shared" si="35"/>
        <v>1-0,000122688790028655i</v>
      </c>
      <c r="X76" s="160">
        <f t="shared" si="46"/>
        <v>1.0000000075262696</v>
      </c>
      <c r="Y76" s="160">
        <f t="shared" si="47"/>
        <v>-1.226887894130624E-4</v>
      </c>
      <c r="Z76" s="98" t="str">
        <f t="shared" si="36"/>
        <v>0,999999998805422+0,0000475219067823005i</v>
      </c>
      <c r="AA76" s="160">
        <f t="shared" si="48"/>
        <v>0.99999999993458766</v>
      </c>
      <c r="AB76" s="160">
        <f t="shared" si="49"/>
        <v>4.7521906803295716E-5</v>
      </c>
      <c r="AC76" s="171" t="str">
        <f t="shared" si="50"/>
        <v>115,58526541936-24,6386553140266i</v>
      </c>
      <c r="AD76" s="190">
        <f t="shared" si="51"/>
        <v>41.451036591920499</v>
      </c>
      <c r="AE76" s="169">
        <f t="shared" si="52"/>
        <v>-12.033312990172643</v>
      </c>
      <c r="AF76" s="98" t="str">
        <f t="shared" si="37"/>
        <v>-0,0000375877424711299</v>
      </c>
      <c r="AG76" s="98" t="str">
        <f t="shared" si="38"/>
        <v>2,41985483448262E-07i</v>
      </c>
      <c r="AH76" s="98">
        <f t="shared" si="53"/>
        <v>2.41985483448262E-7</v>
      </c>
      <c r="AI76" s="98">
        <f t="shared" si="54"/>
        <v>1.5707963267948966</v>
      </c>
      <c r="AJ76" s="98" t="str">
        <f t="shared" si="39"/>
        <v>1+0,000220722329857531i</v>
      </c>
      <c r="AK76" s="98">
        <f t="shared" si="55"/>
        <v>1.0000000243591731</v>
      </c>
      <c r="AL76" s="98">
        <f t="shared" si="56"/>
        <v>2.2072232627312209E-4</v>
      </c>
      <c r="AM76" s="98" t="str">
        <f t="shared" si="40"/>
        <v>1+0,0171993630881292i</v>
      </c>
      <c r="AN76" s="98">
        <f t="shared" si="57"/>
        <v>1.0001478981083936</v>
      </c>
      <c r="AO76" s="98">
        <f t="shared" si="58"/>
        <v>1.7197667428166859E-2</v>
      </c>
      <c r="AP76" s="168" t="str">
        <f t="shared" si="59"/>
        <v>-2,63730177590051+155,331149612837i</v>
      </c>
      <c r="AQ76" s="98">
        <f t="shared" si="60"/>
        <v>43.826422899027612</v>
      </c>
      <c r="AR76" s="169">
        <f t="shared" si="61"/>
        <v>90.972707303363805</v>
      </c>
      <c r="AS76" s="168" t="str">
        <f t="shared" si="62"/>
        <v>3522,31742908378+18018,9717253096i</v>
      </c>
      <c r="AT76" s="190">
        <f t="shared" si="63"/>
        <v>85.277459490948132</v>
      </c>
      <c r="AU76" s="169">
        <f t="shared" si="64"/>
        <v>78.939394313191173</v>
      </c>
      <c r="AV76" s="225"/>
      <c r="AX76">
        <f t="shared" si="65"/>
        <v>0</v>
      </c>
      <c r="AY76">
        <f t="shared" si="66"/>
        <v>0</v>
      </c>
    </row>
    <row r="77" spans="1:51" x14ac:dyDescent="0.25">
      <c r="N77" s="170">
        <v>59</v>
      </c>
      <c r="O77" s="199">
        <f t="shared" si="41"/>
        <v>38.904514499428053</v>
      </c>
      <c r="P77" s="189" t="str">
        <f t="shared" si="32"/>
        <v>120,833333333333</v>
      </c>
      <c r="Q77" s="160" t="str">
        <f t="shared" si="33"/>
        <v>1+0,217962810881472i</v>
      </c>
      <c r="R77" s="160">
        <f t="shared" si="42"/>
        <v>1.0234782786788161</v>
      </c>
      <c r="S77" s="160">
        <f t="shared" si="43"/>
        <v>0.21460633530441295</v>
      </c>
      <c r="T77" s="160" t="str">
        <f t="shared" si="34"/>
        <v>1+0,0000146666564331457i</v>
      </c>
      <c r="U77" s="160">
        <f t="shared" si="44"/>
        <v>1.0000000001075553</v>
      </c>
      <c r="V77" s="160">
        <f t="shared" si="45"/>
        <v>1.4666656432094047E-5</v>
      </c>
      <c r="W77" s="98" t="str">
        <f t="shared" si="35"/>
        <v>1-0,000125546579067727i</v>
      </c>
      <c r="X77" s="160">
        <f t="shared" si="46"/>
        <v>1.0000000078809717</v>
      </c>
      <c r="Y77" s="160">
        <f t="shared" si="47"/>
        <v>-1.2554657840810763E-4</v>
      </c>
      <c r="Z77" s="98" t="str">
        <f t="shared" si="36"/>
        <v>0,999999998749123+0,0000486288341901473i</v>
      </c>
      <c r="AA77" s="160">
        <f t="shared" si="48"/>
        <v>0.99999999993150479</v>
      </c>
      <c r="AB77" s="160">
        <f t="shared" si="49"/>
        <v>4.8628834212644088E-5</v>
      </c>
      <c r="AC77" s="171" t="str">
        <f t="shared" si="50"/>
        <v>115,349148968537-25,1610987167478i</v>
      </c>
      <c r="AD77" s="190">
        <f t="shared" si="51"/>
        <v>41.442162592792222</v>
      </c>
      <c r="AE77" s="169">
        <f t="shared" si="52"/>
        <v>-12.305176448237319</v>
      </c>
      <c r="AF77" s="98" t="str">
        <f t="shared" si="37"/>
        <v>-0,0000375877424711299</v>
      </c>
      <c r="AG77" s="98" t="str">
        <f t="shared" si="38"/>
        <v>2,47622049446276E-07i</v>
      </c>
      <c r="AH77" s="98">
        <f t="shared" si="53"/>
        <v>2.47622049446276E-7</v>
      </c>
      <c r="AI77" s="98">
        <f t="shared" si="54"/>
        <v>1.5707963267948966</v>
      </c>
      <c r="AJ77" s="98" t="str">
        <f t="shared" si="39"/>
        <v>1+0,000225863613383092i</v>
      </c>
      <c r="AK77" s="98">
        <f t="shared" si="55"/>
        <v>1.0000000255071857</v>
      </c>
      <c r="AL77" s="98">
        <f t="shared" si="56"/>
        <v>2.2586360954232864E-4</v>
      </c>
      <c r="AM77" s="98" t="str">
        <f t="shared" si="40"/>
        <v>1+0,0175999877197748i</v>
      </c>
      <c r="AN77" s="98">
        <f t="shared" si="57"/>
        <v>1.0001548677918517</v>
      </c>
      <c r="AO77" s="98">
        <f t="shared" si="58"/>
        <v>1.7598170802584589E-2</v>
      </c>
      <c r="AP77" s="168" t="str">
        <f t="shared" si="59"/>
        <v>-2,6373017698452+151,795407785108i</v>
      </c>
      <c r="AQ77" s="98">
        <f t="shared" si="60"/>
        <v>43.626483417794411</v>
      </c>
      <c r="AR77" s="169">
        <f t="shared" si="61"/>
        <v>90.995359882566078</v>
      </c>
      <c r="AS77" s="168" t="str">
        <f t="shared" si="62"/>
        <v>3515,12872530523+17575,8285155212i</v>
      </c>
      <c r="AT77" s="190">
        <f t="shared" si="63"/>
        <v>85.068646010586662</v>
      </c>
      <c r="AU77" s="169">
        <f t="shared" si="64"/>
        <v>78.690183434328787</v>
      </c>
      <c r="AV77" s="225"/>
      <c r="AX77">
        <f t="shared" si="65"/>
        <v>0</v>
      </c>
      <c r="AY77">
        <f t="shared" si="66"/>
        <v>0</v>
      </c>
    </row>
    <row r="78" spans="1:51" x14ac:dyDescent="0.25">
      <c r="N78" s="170">
        <v>60</v>
      </c>
      <c r="O78" s="199">
        <f t="shared" si="41"/>
        <v>39.810717055349755</v>
      </c>
      <c r="P78" s="189" t="str">
        <f t="shared" si="32"/>
        <v>120,833333333333</v>
      </c>
      <c r="Q78" s="160" t="str">
        <f t="shared" si="33"/>
        <v>1+0,223039816952825i</v>
      </c>
      <c r="R78" s="160">
        <f t="shared" si="42"/>
        <v>1.0245715006510525</v>
      </c>
      <c r="S78" s="160">
        <f t="shared" si="43"/>
        <v>0.21944793052918682</v>
      </c>
      <c r="T78" s="160" t="str">
        <f t="shared" si="34"/>
        <v>1+0,0000150082867482274i</v>
      </c>
      <c r="U78" s="160">
        <f t="shared" si="44"/>
        <v>1.0000000001126244</v>
      </c>
      <c r="V78" s="160">
        <f t="shared" si="45"/>
        <v>1.5008286747100534E-5</v>
      </c>
      <c r="W78" s="98" t="str">
        <f t="shared" si="35"/>
        <v>1-0,000128470934564827i</v>
      </c>
      <c r="X78" s="160">
        <f t="shared" si="46"/>
        <v>1.0000000082523905</v>
      </c>
      <c r="Y78" s="160">
        <f t="shared" si="47"/>
        <v>-1.2847093385803213E-4</v>
      </c>
      <c r="Z78" s="98" t="str">
        <f t="shared" si="36"/>
        <v>0,999999998690171+0,0000497615452495604i</v>
      </c>
      <c r="AA78" s="160">
        <f t="shared" si="48"/>
        <v>0.9999999999282766</v>
      </c>
      <c r="AB78" s="160">
        <f t="shared" si="49"/>
        <v>4.9761545273666151E-5</v>
      </c>
      <c r="AC78" s="171" t="str">
        <f t="shared" si="50"/>
        <v>115,102935637648-25,6922606186792i</v>
      </c>
      <c r="AD78" s="190">
        <f t="shared" si="51"/>
        <v>41.432889768448746</v>
      </c>
      <c r="AE78" s="169">
        <f t="shared" si="52"/>
        <v>-12.582792299540612</v>
      </c>
      <c r="AF78" s="98" t="str">
        <f t="shared" si="37"/>
        <v>-0,0000375877424711299</v>
      </c>
      <c r="AG78" s="98" t="str">
        <f t="shared" si="38"/>
        <v>2,53389907932573E-07i</v>
      </c>
      <c r="AH78" s="98">
        <f t="shared" si="53"/>
        <v>2.5338990793257301E-7</v>
      </c>
      <c r="AI78" s="98">
        <f t="shared" si="54"/>
        <v>1.5707963267948966</v>
      </c>
      <c r="AJ78" s="98" t="str">
        <f t="shared" si="39"/>
        <v>1+0,000231124652786127i</v>
      </c>
      <c r="AK78" s="98">
        <f t="shared" si="55"/>
        <v>1.0000000267093021</v>
      </c>
      <c r="AL78" s="98">
        <f t="shared" si="56"/>
        <v>2.3112464867067493E-4</v>
      </c>
      <c r="AM78" s="98" t="str">
        <f t="shared" si="40"/>
        <v>1+0,0180099440978729i</v>
      </c>
      <c r="AN78" s="98">
        <f t="shared" si="57"/>
        <v>1.0001621658943156</v>
      </c>
      <c r="AO78" s="98">
        <f t="shared" si="58"/>
        <v>1.8007997253075801E-2</v>
      </c>
      <c r="AP78" s="168" t="str">
        <f t="shared" si="59"/>
        <v>-2,63730176350451+148,340149891836i</v>
      </c>
      <c r="AQ78" s="98">
        <f t="shared" si="60"/>
        <v>43.426546787818651</v>
      </c>
      <c r="AR78" s="169">
        <f t="shared" si="61"/>
        <v>91.018539773174155</v>
      </c>
      <c r="AS78" s="168" t="str">
        <f t="shared" si="62"/>
        <v>3507,63261609327+17142,1449697171i</v>
      </c>
      <c r="AT78" s="190">
        <f t="shared" si="63"/>
        <v>84.859436556267397</v>
      </c>
      <c r="AU78" s="169">
        <f t="shared" si="64"/>
        <v>78.43574747363354</v>
      </c>
      <c r="AV78" s="225"/>
      <c r="AX78">
        <f t="shared" si="65"/>
        <v>0</v>
      </c>
      <c r="AY78">
        <f t="shared" si="66"/>
        <v>0</v>
      </c>
    </row>
    <row r="79" spans="1:51" x14ac:dyDescent="0.25">
      <c r="N79" s="170">
        <v>61</v>
      </c>
      <c r="O79" s="199">
        <f t="shared" si="41"/>
        <v>40.738027780411279</v>
      </c>
      <c r="P79" s="189" t="str">
        <f t="shared" si="32"/>
        <v>120,833333333333</v>
      </c>
      <c r="Q79" s="160" t="str">
        <f t="shared" si="33"/>
        <v>1+0,228235081687408i</v>
      </c>
      <c r="R79" s="160">
        <f t="shared" si="42"/>
        <v>1.0257149957531371</v>
      </c>
      <c r="S79" s="160">
        <f t="shared" si="43"/>
        <v>0.22439149810857476</v>
      </c>
      <c r="T79" s="160" t="str">
        <f t="shared" si="34"/>
        <v>1+0,0000153578746556012i</v>
      </c>
      <c r="U79" s="160">
        <f t="shared" si="44"/>
        <v>1.0000000001179321</v>
      </c>
      <c r="V79" s="160">
        <f t="shared" si="45"/>
        <v>1.5357874654393741E-5</v>
      </c>
      <c r="W79" s="98" t="str">
        <f t="shared" si="35"/>
        <v>1-0,000131463407051946i</v>
      </c>
      <c r="X79" s="160">
        <f t="shared" si="46"/>
        <v>1.0000000086413137</v>
      </c>
      <c r="Y79" s="160">
        <f t="shared" si="47"/>
        <v>-1.3146340629460165E-4</v>
      </c>
      <c r="Z79" s="98" t="str">
        <f t="shared" si="36"/>
        <v>0,999999998628441+0,0000509206405389368i</v>
      </c>
      <c r="AA79" s="160">
        <f t="shared" si="48"/>
        <v>0.99999999992489685</v>
      </c>
      <c r="AB79" s="160">
        <f t="shared" si="49"/>
        <v>5.0920640564766554E-5</v>
      </c>
      <c r="AC79" s="171" t="str">
        <f t="shared" si="50"/>
        <v>114,84624181712-26,2321237118481i</v>
      </c>
      <c r="AD79" s="190">
        <f t="shared" si="51"/>
        <v>41.423201103215696</v>
      </c>
      <c r="AE79" s="169">
        <f t="shared" si="52"/>
        <v>-12.866255694974704</v>
      </c>
      <c r="AF79" s="98" t="str">
        <f t="shared" si="37"/>
        <v>-0,0000375877424711299</v>
      </c>
      <c r="AG79" s="98" t="str">
        <f t="shared" si="38"/>
        <v>2,59292117102068E-07i</v>
      </c>
      <c r="AH79" s="98">
        <f t="shared" si="53"/>
        <v>2.5929211710206799E-7</v>
      </c>
      <c r="AI79" s="98">
        <f t="shared" si="54"/>
        <v>1.5707963267948966</v>
      </c>
      <c r="AJ79" s="98" t="str">
        <f t="shared" si="39"/>
        <v>1+0,000236508237539367i</v>
      </c>
      <c r="AK79" s="98">
        <f t="shared" si="55"/>
        <v>1.0000000279680727</v>
      </c>
      <c r="AL79" s="98">
        <f t="shared" si="56"/>
        <v>2.3650823312958068E-4</v>
      </c>
      <c r="AM79" s="98" t="str">
        <f t="shared" si="40"/>
        <v>1+0,0184294495867215i</v>
      </c>
      <c r="AN79" s="98">
        <f t="shared" si="57"/>
        <v>1.0001698078886754</v>
      </c>
      <c r="AO79" s="98">
        <f t="shared" si="58"/>
        <v>1.842736352406512E-2</v>
      </c>
      <c r="AP79" s="168" t="str">
        <f t="shared" si="59"/>
        <v>-2,63730175686499+144,963543909551i</v>
      </c>
      <c r="AQ79" s="98">
        <f t="shared" si="60"/>
        <v>43.226613143388775</v>
      </c>
      <c r="AR79" s="169">
        <f t="shared" si="61"/>
        <v>91.04225923390382</v>
      </c>
      <c r="AS79" s="168" t="str">
        <f t="shared" si="62"/>
        <v>3499,81742222963+16717,7002444545i</v>
      </c>
      <c r="AT79" s="190">
        <f t="shared" si="63"/>
        <v>84.64981424660445</v>
      </c>
      <c r="AU79" s="169">
        <f t="shared" si="64"/>
        <v>78.176003538929109</v>
      </c>
      <c r="AV79" s="225"/>
      <c r="AX79">
        <f t="shared" si="65"/>
        <v>0</v>
      </c>
      <c r="AY79">
        <f t="shared" si="66"/>
        <v>0</v>
      </c>
    </row>
    <row r="80" spans="1:51" x14ac:dyDescent="0.25">
      <c r="N80" s="170">
        <v>62</v>
      </c>
      <c r="O80" s="199">
        <f t="shared" si="41"/>
        <v>41.686938347033561</v>
      </c>
      <c r="P80" s="189" t="str">
        <f t="shared" si="32"/>
        <v>120,833333333333</v>
      </c>
      <c r="Q80" s="160" t="str">
        <f t="shared" si="33"/>
        <v>1+0,233551359683351i</v>
      </c>
      <c r="R80" s="160">
        <f t="shared" si="42"/>
        <v>1.0269110173768425</v>
      </c>
      <c r="S80" s="160">
        <f t="shared" si="43"/>
        <v>0.22943869222920907</v>
      </c>
      <c r="T80" s="160" t="str">
        <f t="shared" si="34"/>
        <v>1+0,0000157156055114029i</v>
      </c>
      <c r="U80" s="160">
        <f t="shared" si="44"/>
        <v>1.0000000001234901</v>
      </c>
      <c r="V80" s="160">
        <f t="shared" si="45"/>
        <v>1.5715605510109085E-5</v>
      </c>
      <c r="W80" s="98" t="str">
        <f t="shared" si="35"/>
        <v>1-0,000134525583177609i</v>
      </c>
      <c r="X80" s="160">
        <f t="shared" si="46"/>
        <v>1.0000000090485661</v>
      </c>
      <c r="Y80" s="160">
        <f t="shared" si="47"/>
        <v>-1.345255823660999E-4</v>
      </c>
      <c r="Z80" s="98" t="str">
        <f t="shared" si="36"/>
        <v>0,999999998563801+0,0000521067346259414i</v>
      </c>
      <c r="AA80" s="160">
        <f t="shared" si="48"/>
        <v>0.9999999999213568</v>
      </c>
      <c r="AB80" s="160">
        <f t="shared" si="49"/>
        <v>5.2106734653618503E-5</v>
      </c>
      <c r="AC80" s="171" t="str">
        <f t="shared" si="50"/>
        <v>114,57867371992-26,780657474067i</v>
      </c>
      <c r="AD80" s="190">
        <f t="shared" si="51"/>
        <v>41.413078938509678</v>
      </c>
      <c r="AE80" s="169">
        <f t="shared" si="52"/>
        <v>-13.155661527952505</v>
      </c>
      <c r="AF80" s="98" t="str">
        <f t="shared" si="37"/>
        <v>-0,0000375877424711299</v>
      </c>
      <c r="AG80" s="98" t="str">
        <f t="shared" si="38"/>
        <v>2,65331806384187E-07i</v>
      </c>
      <c r="AH80" s="98">
        <f t="shared" si="53"/>
        <v>2.6533180638418698E-7</v>
      </c>
      <c r="AI80" s="98">
        <f t="shared" si="54"/>
        <v>1.5707963267948966</v>
      </c>
      <c r="AJ80" s="98" t="str">
        <f t="shared" si="39"/>
        <v>1+0,000242017222090707i</v>
      </c>
      <c r="AK80" s="98">
        <f t="shared" si="55"/>
        <v>1.0000000292861675</v>
      </c>
      <c r="AL80" s="98">
        <f t="shared" si="56"/>
        <v>2.4201721736553583E-4</v>
      </c>
      <c r="AM80" s="98" t="str">
        <f t="shared" si="40"/>
        <v>1+0,0188587266136836i</v>
      </c>
      <c r="AN80" s="98">
        <f t="shared" si="57"/>
        <v>1.0001778099765508</v>
      </c>
      <c r="AO80" s="98">
        <f t="shared" si="58"/>
        <v>1.8856491378736861E-2</v>
      </c>
      <c r="AP80" s="168" t="str">
        <f t="shared" si="59"/>
        <v>-2,63730174991257+141,663799517065i</v>
      </c>
      <c r="AQ80" s="98">
        <f t="shared" si="60"/>
        <v>43.026682625113537</v>
      </c>
      <c r="AR80" s="169">
        <f t="shared" si="61"/>
        <v>91.066530807301902</v>
      </c>
      <c r="AS80" s="168" t="str">
        <f t="shared" si="62"/>
        <v>3491,67115463721+16302,2789376101i</v>
      </c>
      <c r="AT80" s="190">
        <f t="shared" si="63"/>
        <v>84.439761563623193</v>
      </c>
      <c r="AU80" s="169">
        <f t="shared" si="64"/>
        <v>77.910869279349384</v>
      </c>
      <c r="AV80" s="225"/>
      <c r="AX80">
        <f t="shared" si="65"/>
        <v>0</v>
      </c>
      <c r="AY80">
        <f t="shared" si="66"/>
        <v>0</v>
      </c>
    </row>
    <row r="81" spans="14:51" x14ac:dyDescent="0.25">
      <c r="N81" s="170">
        <v>63</v>
      </c>
      <c r="O81" s="199">
        <f t="shared" si="41"/>
        <v>42.657951880159267</v>
      </c>
      <c r="P81" s="189" t="str">
        <f t="shared" si="32"/>
        <v>120,833333333333</v>
      </c>
      <c r="Q81" s="160" t="str">
        <f t="shared" si="33"/>
        <v>1+0,238991469701614i</v>
      </c>
      <c r="R81" s="160">
        <f t="shared" si="42"/>
        <v>1.0281619145786998</v>
      </c>
      <c r="S81" s="160">
        <f t="shared" si="43"/>
        <v>0.23459115993582202</v>
      </c>
      <c r="T81" s="160" t="str">
        <f t="shared" si="34"/>
        <v>1+0,0000160816689892674i</v>
      </c>
      <c r="U81" s="160">
        <f t="shared" si="44"/>
        <v>1.0000000001293099</v>
      </c>
      <c r="V81" s="160">
        <f t="shared" si="45"/>
        <v>1.608166898788105E-5</v>
      </c>
      <c r="W81" s="98" t="str">
        <f t="shared" si="35"/>
        <v>1-0,000137659086548129i</v>
      </c>
      <c r="X81" s="160">
        <f t="shared" si="46"/>
        <v>1.0000000094750121</v>
      </c>
      <c r="Y81" s="160">
        <f t="shared" si="47"/>
        <v>-1.3765908567858135E-4</v>
      </c>
      <c r="Z81" s="98" t="str">
        <f t="shared" si="36"/>
        <v>0,999999998496115+0,0000533204563933588i</v>
      </c>
      <c r="AA81" s="160">
        <f t="shared" si="48"/>
        <v>0.99999999991765054</v>
      </c>
      <c r="AB81" s="160">
        <f t="shared" si="49"/>
        <v>5.3320456423015354E-5</v>
      </c>
      <c r="AC81" s="171" t="str">
        <f t="shared" si="50"/>
        <v>114,29982753003-27,3378172611411i</v>
      </c>
      <c r="AD81" s="190">
        <f t="shared" si="51"/>
        <v>41.402504956121305</v>
      </c>
      <c r="AE81" s="169">
        <f t="shared" si="52"/>
        <v>-13.45110428537633</v>
      </c>
      <c r="AF81" s="98" t="str">
        <f t="shared" si="37"/>
        <v>-0,0000375877424711299</v>
      </c>
      <c r="AG81" s="98" t="str">
        <f t="shared" si="38"/>
        <v>2,71512178102132E-07i</v>
      </c>
      <c r="AH81" s="98">
        <f t="shared" si="53"/>
        <v>2.7151217810213199E-7</v>
      </c>
      <c r="AI81" s="98">
        <f t="shared" si="54"/>
        <v>1.5707963267948966</v>
      </c>
      <c r="AJ81" s="98" t="str">
        <f t="shared" si="39"/>
        <v>1+0,000247654527376675i</v>
      </c>
      <c r="AK81" s="98">
        <f t="shared" si="55"/>
        <v>1.0000000306663819</v>
      </c>
      <c r="AL81" s="98">
        <f t="shared" si="56"/>
        <v>2.4765452231356288E-4</v>
      </c>
      <c r="AM81" s="98" t="str">
        <f t="shared" si="40"/>
        <v>1+0,0192980027871209i</v>
      </c>
      <c r="AN81" s="98">
        <f t="shared" si="57"/>
        <v>1.0001861891225912</v>
      </c>
      <c r="AO81" s="98">
        <f t="shared" si="58"/>
        <v>1.9295607713803373E-2</v>
      </c>
      <c r="AP81" s="168" t="str">
        <f t="shared" si="59"/>
        <v>-2,63730174263248+138,439167146226i</v>
      </c>
      <c r="AQ81" s="98">
        <f t="shared" si="60"/>
        <v>42.826755380219353</v>
      </c>
      <c r="AR81" s="169">
        <f t="shared" si="61"/>
        <v>91.091367326235115</v>
      </c>
      <c r="AS81" s="168" t="str">
        <f t="shared" si="62"/>
        <v>3483,18151890056+15895,6710013172i</v>
      </c>
      <c r="AT81" s="190">
        <f t="shared" si="63"/>
        <v>84.229260336340673</v>
      </c>
      <c r="AU81" s="169">
        <f t="shared" si="64"/>
        <v>77.64026304085877</v>
      </c>
      <c r="AV81" s="225"/>
      <c r="AX81">
        <f t="shared" si="65"/>
        <v>0</v>
      </c>
      <c r="AY81">
        <f t="shared" si="66"/>
        <v>0</v>
      </c>
    </row>
    <row r="82" spans="14:51" x14ac:dyDescent="0.25">
      <c r="N82" s="170">
        <v>64</v>
      </c>
      <c r="O82" s="199">
        <f t="shared" si="41"/>
        <v>43.651583224016633</v>
      </c>
      <c r="P82" s="189" t="str">
        <f t="shared" si="32"/>
        <v>120,833333333333</v>
      </c>
      <c r="Q82" s="160" t="str">
        <f t="shared" si="33"/>
        <v>1+0,24455829616054i</v>
      </c>
      <c r="R82" s="160">
        <f t="shared" si="42"/>
        <v>1.0294701356624905</v>
      </c>
      <c r="S82" s="160">
        <f t="shared" si="43"/>
        <v>0.23985053835314357</v>
      </c>
      <c r="T82" s="160" t="str">
        <f t="shared" si="34"/>
        <v>1+0,000016456259180896i</v>
      </c>
      <c r="U82" s="160">
        <f t="shared" si="44"/>
        <v>1.0000000001354041</v>
      </c>
      <c r="V82" s="160">
        <f t="shared" si="45"/>
        <v>1.6456259179410501E-5</v>
      </c>
      <c r="W82" s="98" t="str">
        <f t="shared" si="35"/>
        <v>1-0,00014086557858847i</v>
      </c>
      <c r="X82" s="160">
        <f t="shared" si="46"/>
        <v>1.0000000099215556</v>
      </c>
      <c r="Y82" s="160">
        <f t="shared" si="47"/>
        <v>-1.4086557765673289E-4</v>
      </c>
      <c r="Z82" s="98" t="str">
        <f t="shared" si="36"/>
        <v>0,999999998425239+0,0000545624493725355i</v>
      </c>
      <c r="AA82" s="160">
        <f t="shared" si="48"/>
        <v>0.99999999991376942</v>
      </c>
      <c r="AB82" s="160">
        <f t="shared" si="49"/>
        <v>5.456244940431307E-5</v>
      </c>
      <c r="AC82" s="171" t="str">
        <f t="shared" si="50"/>
        <v>114,009289601161-27,9035433667231i</v>
      </c>
      <c r="AD82" s="190">
        <f t="shared" si="51"/>
        <v>41.391460161784799</v>
      </c>
      <c r="AE82" s="169">
        <f t="shared" si="52"/>
        <v>-13.752677888527417</v>
      </c>
      <c r="AF82" s="98" t="str">
        <f t="shared" si="37"/>
        <v>-0,0000375877424711299</v>
      </c>
      <c r="AG82" s="98" t="str">
        <f t="shared" si="38"/>
        <v>2,77836509170796E-07i</v>
      </c>
      <c r="AH82" s="98">
        <f t="shared" si="53"/>
        <v>2.7783650917079598E-7</v>
      </c>
      <c r="AI82" s="98">
        <f t="shared" si="54"/>
        <v>1.5707963267948966</v>
      </c>
      <c r="AJ82" s="98" t="str">
        <f t="shared" si="39"/>
        <v>1+0,000253423142371153i</v>
      </c>
      <c r="AK82" s="98">
        <f t="shared" si="55"/>
        <v>1.000000032111644</v>
      </c>
      <c r="AL82" s="98">
        <f t="shared" si="56"/>
        <v>2.5342313694593063E-4</v>
      </c>
      <c r="AM82" s="98" t="str">
        <f t="shared" si="40"/>
        <v>1+0,0197475110170753i</v>
      </c>
      <c r="AN82" s="98">
        <f t="shared" si="57"/>
        <v>1.0001949630903815</v>
      </c>
      <c r="AO82" s="98">
        <f t="shared" si="58"/>
        <v>1.9744944676795252E-2</v>
      </c>
      <c r="AP82" s="168" t="str">
        <f t="shared" si="59"/>
        <v>-2,63730173500929+135,287937054266i</v>
      </c>
      <c r="AQ82" s="98">
        <f t="shared" si="60"/>
        <v>42.626831562860879</v>
      </c>
      <c r="AR82" s="169">
        <f t="shared" si="61"/>
        <v>91.116781920521703</v>
      </c>
      <c r="AS82" s="168" t="str">
        <f t="shared" si="62"/>
        <v>3474,3359213159+15497,6716584974i</v>
      </c>
      <c r="AT82" s="190">
        <f t="shared" si="63"/>
        <v>84.018291724645678</v>
      </c>
      <c r="AU82" s="169">
        <f t="shared" si="64"/>
        <v>77.364104031994273</v>
      </c>
      <c r="AV82" s="225"/>
      <c r="AX82">
        <f t="shared" si="65"/>
        <v>0</v>
      </c>
      <c r="AY82">
        <f t="shared" si="66"/>
        <v>0</v>
      </c>
    </row>
    <row r="83" spans="14:51" x14ac:dyDescent="0.25">
      <c r="N83" s="170">
        <v>65</v>
      </c>
      <c r="O83" s="199">
        <f t="shared" si="41"/>
        <v>44.668359215096324</v>
      </c>
      <c r="P83" s="189" t="str">
        <f t="shared" ref="P83:P146" si="67">COMPLEX(Adc,0)</f>
        <v>120,833333333333</v>
      </c>
      <c r="Q83" s="160" t="str">
        <f t="shared" ref="Q83:Q146" si="68">IMSUM(COMPLEX(1,0),IMDIV(COMPLEX(0,2*PI()*O83),COMPLEX(wp_lf,0)))</f>
        <v>1+0,250254790665202i</v>
      </c>
      <c r="R83" s="160">
        <f t="shared" si="42"/>
        <v>1.0308382318535163</v>
      </c>
      <c r="S83" s="160">
        <f t="shared" si="43"/>
        <v>0.24521845172577661</v>
      </c>
      <c r="T83" s="160" t="str">
        <f t="shared" ref="T83:T146" si="69">IMSUM(COMPLEX(1,0),IMDIV(COMPLEX(0,2*PI()*O83),COMPLEX(wz_esr,0)))</f>
        <v>1+0,0000168395746989667i</v>
      </c>
      <c r="U83" s="160">
        <f t="shared" si="44"/>
        <v>1.0000000001417857</v>
      </c>
      <c r="V83" s="160">
        <f t="shared" si="45"/>
        <v>1.6839574697374957E-5</v>
      </c>
      <c r="W83" s="98" t="str">
        <f t="shared" ref="W83:W146" si="70">IMSUB(COMPLEX(1,0),IMDIV(COMPLEX(0,2*PI()*O83),COMPLEX(wz_rhp,0)))</f>
        <v>1-0,000144146759423155i</v>
      </c>
      <c r="X83" s="160">
        <f t="shared" si="46"/>
        <v>1.000000010389144</v>
      </c>
      <c r="Y83" s="160">
        <f t="shared" si="47"/>
        <v>-1.4414675842478071E-4</v>
      </c>
      <c r="Z83" s="98" t="str">
        <f t="shared" ref="Z83:Z146" si="71">IF(Dc_Mode_Loop="CCM",IMSUM(COMPLEX(1,0),IMDIV(COMPLEX(0,2*PI()*O83),COMPLEX(Q*(wsl/2),0)),IMDIV(IMPOWER(COMPLEX(0,2*PI()*O83),2),IMPOWER(COMPLEX(wsl/2,0),2))),COMPLEX(1,0))</f>
        <v>0,999999998351023+0,000055833372084589i</v>
      </c>
      <c r="AA83" s="160">
        <f t="shared" si="48"/>
        <v>0.99999999990970578</v>
      </c>
      <c r="AB83" s="160">
        <f t="shared" si="49"/>
        <v>5.5833372118639266E-5</v>
      </c>
      <c r="AC83" s="171" t="str">
        <f t="shared" si="50"/>
        <v>113,706636710131-28,4777600510806i</v>
      </c>
      <c r="AD83" s="190">
        <f t="shared" si="51"/>
        <v>41.379924869120821</v>
      </c>
      <c r="AE83" s="169">
        <f t="shared" si="52"/>
        <v>-14.060475523527112</v>
      </c>
      <c r="AF83" s="98" t="str">
        <f t="shared" ref="AF83:AF146" si="72">COMPLEX(Adc_ea,0)</f>
        <v>-0,0000375877424711299</v>
      </c>
      <c r="AG83" s="98" t="str">
        <f t="shared" ref="AG83:AG146" si="73">COMPLEX(0,2*PI()*O83*wp0_ea)</f>
        <v>2,84308152834223E-07i</v>
      </c>
      <c r="AH83" s="98">
        <f t="shared" si="53"/>
        <v>2.8430815283422301E-7</v>
      </c>
      <c r="AI83" s="98">
        <f t="shared" si="54"/>
        <v>1.5707963267948966</v>
      </c>
      <c r="AJ83" s="98" t="str">
        <f t="shared" ref="AJ83:AJ146" si="74">IMSUM(COMPLEX(1,0),IMDIV(COMPLEX(0,2*PI()*O83),COMPLEX(wp1_ea,0)))</f>
        <v>1+0,000259326125670169i</v>
      </c>
      <c r="AK83" s="98">
        <f t="shared" si="55"/>
        <v>1.0000000336250192</v>
      </c>
      <c r="AL83" s="98">
        <f t="shared" si="56"/>
        <v>2.5932611985693849E-4</v>
      </c>
      <c r="AM83" s="98" t="str">
        <f t="shared" ref="AM83:AM146" si="75">IMSUM(COMPLEX(1,0),IMDIV(COMPLEX(0,2*PI()*O83),COMPLEX(wz_ea,0)))</f>
        <v>1+0,0202074896387601i</v>
      </c>
      <c r="AN83" s="98">
        <f t="shared" si="57"/>
        <v>1.000204150480041</v>
      </c>
      <c r="AO83" s="98">
        <f t="shared" si="58"/>
        <v>2.0204739785919176E-2</v>
      </c>
      <c r="AP83" s="168" t="str">
        <f t="shared" si="59"/>
        <v>-2,63730172702683+132,20843841728i</v>
      </c>
      <c r="AQ83" s="98">
        <f t="shared" si="60"/>
        <v>42.426911334446942</v>
      </c>
      <c r="AR83" s="169">
        <f t="shared" si="61"/>
        <v>91.142788023707922</v>
      </c>
      <c r="AS83" s="168" t="str">
        <f t="shared" si="62"/>
        <v>3465,12147660533+15108,081322892i</v>
      </c>
      <c r="AT83" s="190">
        <f t="shared" si="63"/>
        <v>83.806836203567784</v>
      </c>
      <c r="AU83" s="169">
        <f t="shared" si="64"/>
        <v>77.082312500180834</v>
      </c>
      <c r="AV83" s="225"/>
      <c r="AX83">
        <f t="shared" si="65"/>
        <v>0</v>
      </c>
      <c r="AY83">
        <f t="shared" si="66"/>
        <v>0</v>
      </c>
    </row>
    <row r="84" spans="14:51" x14ac:dyDescent="0.25">
      <c r="N84" s="170">
        <v>66</v>
      </c>
      <c r="O84" s="199">
        <f t="shared" ref="O84:O118" si="76">10^(1+(N84/100))</f>
        <v>45.70881896148753</v>
      </c>
      <c r="P84" s="189" t="str">
        <f t="shared" si="67"/>
        <v>120,833333333333</v>
      </c>
      <c r="Q84" s="160" t="str">
        <f t="shared" si="68"/>
        <v>1+0,256083973572388i</v>
      </c>
      <c r="R84" s="160">
        <f t="shared" ref="R84:R147" si="77">IMABS(Q84)</f>
        <v>1.0322688610631552</v>
      </c>
      <c r="S84" s="160">
        <f t="shared" ref="S84:S147" si="78">IMARGUMENT(Q84)</f>
        <v>0.25069650827031292</v>
      </c>
      <c r="T84" s="160" t="str">
        <f t="shared" si="69"/>
        <v>1+0,000017231818782441i</v>
      </c>
      <c r="U84" s="160">
        <f t="shared" ref="U84:U147" si="79">IMABS(T84)</f>
        <v>1.0000000001484679</v>
      </c>
      <c r="V84" s="160">
        <f t="shared" ref="V84:V147" si="80">IMARGUMENT(T84)</f>
        <v>1.723181878073542E-5</v>
      </c>
      <c r="W84" s="98" t="str">
        <f t="shared" si="70"/>
        <v>1-0,000147504368777695i</v>
      </c>
      <c r="X84" s="160">
        <f t="shared" ref="X84:X147" si="81">IMABS(W84)</f>
        <v>1.0000000108787694</v>
      </c>
      <c r="Y84" s="160">
        <f t="shared" ref="Y84:Y147" si="82">IMARGUMENT(W84)</f>
        <v>-1.4750436770791768E-4</v>
      </c>
      <c r="Z84" s="98" t="str">
        <f t="shared" si="71"/>
        <v>0,999999998273309+0,0000571338983895638i</v>
      </c>
      <c r="AA84" s="160">
        <f t="shared" ref="AA84:AA147" si="83">IMABS(Z84)</f>
        <v>0.99999999990545008</v>
      </c>
      <c r="AB84" s="160">
        <f t="shared" ref="AB84:AB147" si="84">IMARGUMENT(Z84)</f>
        <v>5.7133898426049326E-5</v>
      </c>
      <c r="AC84" s="171" t="str">
        <f t="shared" ref="AC84:AC147" si="85">(IMDIV(IMPRODUCT(P84,T84,W84),IMPRODUCT(Q84,Z84)))</f>
        <v>113,391436369497-29,0603745404227i</v>
      </c>
      <c r="AD84" s="190">
        <f t="shared" ref="AD84:AD147" si="86">20*LOG(IMABS(AC84))</f>
        <v>41.367878684046516</v>
      </c>
      <c r="AE84" s="169">
        <f t="shared" ref="AE84:AE147" si="87">(180/PI())*IMARGUMENT(AC84)</f>
        <v>-14.374589461042428</v>
      </c>
      <c r="AF84" s="98" t="str">
        <f t="shared" si="72"/>
        <v>-0,0000375877424711299</v>
      </c>
      <c r="AG84" s="98" t="str">
        <f t="shared" si="73"/>
        <v>2,90930540443546E-07i</v>
      </c>
      <c r="AH84" s="98">
        <f t="shared" ref="AH84:AH147" si="88">IMABS(AG84)</f>
        <v>2.9093054044354602E-7</v>
      </c>
      <c r="AI84" s="98">
        <f t="shared" ref="AI84:AI147" si="89">IMARGUMENT(AG84)</f>
        <v>1.5707963267948966</v>
      </c>
      <c r="AJ84" s="98" t="str">
        <f t="shared" si="74"/>
        <v>1+0,000265366607113602i</v>
      </c>
      <c r="AK84" s="98">
        <f t="shared" ref="AK84:AK147" si="90">IMABS(AJ84)</f>
        <v>1.0000000352097174</v>
      </c>
      <c r="AL84" s="98">
        <f t="shared" ref="AL84:AL147" si="91">IMARGUMENT(AJ84)</f>
        <v>2.6536660088461334E-4</v>
      </c>
      <c r="AM84" s="98" t="str">
        <f t="shared" si="75"/>
        <v>1+0,0206781825389292i</v>
      </c>
      <c r="AN84" s="98">
        <f t="shared" ref="AN84:AN147" si="92">IMABS(AM84)</f>
        <v>1.000213770767586</v>
      </c>
      <c r="AO84" s="98">
        <f t="shared" ref="AO84:AO147" si="93">IMARGUMENT(AM84)</f>
        <v>2.0675236052534369E-2</v>
      </c>
      <c r="AP84" s="168" t="str">
        <f t="shared" ref="AP84:AP147" si="94">IMPRODUCT(AF84,IMDIV(AM84,IMPRODUCT(AG84,AJ84)))</f>
        <v>-2,63730171866819+129,199038444328i</v>
      </c>
      <c r="AQ84" s="98">
        <f t="shared" ref="AQ84:AQ147" si="95">20*LOG(IMABS(AP84))</f>
        <v>42.226994863981062</v>
      </c>
      <c r="AR84" s="169">
        <f t="shared" ref="AR84:AR147" si="96">(180/PI())*IMARGUMENT(AP84)</f>
        <v>91.169399379992512</v>
      </c>
      <c r="AS84" s="168" t="str">
        <f t="shared" ref="AS84:AS147" si="97">IMPRODUCT(AC84,AP84)</f>
        <v>3455,52501743511+14726,7055224808i</v>
      </c>
      <c r="AT84" s="190">
        <f t="shared" ref="AT84:AT147" si="98">20*LOG(IMABS(AS84))</f>
        <v>83.59487354802755</v>
      </c>
      <c r="AU84" s="169">
        <f t="shared" ref="AU84:AU147" si="99">(180/PI())*IMARGUMENT(AS84)</f>
        <v>76.794809918950094</v>
      </c>
      <c r="AV84" s="225"/>
      <c r="AX84">
        <f t="shared" ref="AX84:AX147" si="100">SUM((AT85&lt;0)*(AT84&gt;0))*O84</f>
        <v>0</v>
      </c>
      <c r="AY84">
        <f t="shared" ref="AY84:AY147" si="101">IF(AX84&gt;0,AU84,0)</f>
        <v>0</v>
      </c>
    </row>
    <row r="85" spans="14:51" x14ac:dyDescent="0.25">
      <c r="N85" s="170">
        <v>67</v>
      </c>
      <c r="O85" s="199">
        <f t="shared" si="76"/>
        <v>46.773514128719818</v>
      </c>
      <c r="P85" s="189" t="str">
        <f t="shared" si="67"/>
        <v>120,833333333333</v>
      </c>
      <c r="Q85" s="160" t="str">
        <f t="shared" si="68"/>
        <v>1+0,262048935592034i</v>
      </c>
      <c r="R85" s="160">
        <f t="shared" si="77"/>
        <v>1.0337647917417763</v>
      </c>
      <c r="S85" s="160">
        <f t="shared" si="78"/>
        <v>0.25628629683425197</v>
      </c>
      <c r="T85" s="160" t="str">
        <f t="shared" si="69"/>
        <v>1+0,0000176331994043237i</v>
      </c>
      <c r="U85" s="160">
        <f t="shared" si="79"/>
        <v>1.000000000155465</v>
      </c>
      <c r="V85" s="160">
        <f t="shared" si="80"/>
        <v>1.7633199402496138E-5</v>
      </c>
      <c r="W85" s="98" t="str">
        <f t="shared" si="70"/>
        <v>1-0,000150940186901011i</v>
      </c>
      <c r="X85" s="160">
        <f t="shared" si="81"/>
        <v>1.00000001139147</v>
      </c>
      <c r="Y85" s="160">
        <f t="shared" si="82"/>
        <v>-1.5094018575472395E-4</v>
      </c>
      <c r="Z85" s="98" t="str">
        <f t="shared" si="71"/>
        <v>0,999999998191933+0,0000584647178437213i</v>
      </c>
      <c r="AA85" s="160">
        <f t="shared" si="83"/>
        <v>0.99999999990099453</v>
      </c>
      <c r="AB85" s="160">
        <f t="shared" si="84"/>
        <v>5.8464717882816223E-5</v>
      </c>
      <c r="AC85" s="171" t="str">
        <f t="shared" si="85"/>
        <v>113,063247204205-29,6512759988305i</v>
      </c>
      <c r="AD85" s="190">
        <f t="shared" si="86"/>
        <v>41.355300489755635</v>
      </c>
      <c r="AE85" s="169">
        <f t="shared" si="87"/>
        <v>-14.695110864922366</v>
      </c>
      <c r="AF85" s="98" t="str">
        <f t="shared" si="72"/>
        <v>-0,0000375877424711299</v>
      </c>
      <c r="AG85" s="98" t="str">
        <f t="shared" si="73"/>
        <v>2,97707183276333E-07i</v>
      </c>
      <c r="AH85" s="98">
        <f t="shared" si="88"/>
        <v>2.9770718327633299E-7</v>
      </c>
      <c r="AI85" s="98">
        <f t="shared" si="89"/>
        <v>1.5707963267948966</v>
      </c>
      <c r="AJ85" s="98" t="str">
        <f t="shared" si="74"/>
        <v>1+0,000271547789444669i</v>
      </c>
      <c r="AK85" s="98">
        <f t="shared" si="90"/>
        <v>1.0000000368691002</v>
      </c>
      <c r="AL85" s="98">
        <f t="shared" si="91"/>
        <v>2.7154778277018739E-4</v>
      </c>
      <c r="AM85" s="98" t="str">
        <f t="shared" si="75"/>
        <v>1+0,0211598392851885i</v>
      </c>
      <c r="AN85" s="98">
        <f t="shared" si="92"/>
        <v>1.000223844346142</v>
      </c>
      <c r="AO85" s="98">
        <f t="shared" si="93"/>
        <v>2.115668210629347E-2</v>
      </c>
      <c r="AP85" s="168" t="str">
        <f t="shared" si="94"/>
        <v>-2,6373017099156+126,258141511711i</v>
      </c>
      <c r="AQ85" s="98">
        <f t="shared" si="95"/>
        <v>42.027082328418437</v>
      </c>
      <c r="AR85" s="169">
        <f t="shared" si="96"/>
        <v>91.196630051301696</v>
      </c>
      <c r="AS85" s="168" t="str">
        <f t="shared" si="97"/>
        <v>3445,53310588288+14353,354826175i</v>
      </c>
      <c r="AT85" s="190">
        <f t="shared" si="98"/>
        <v>83.382382818174094</v>
      </c>
      <c r="AU85" s="169">
        <f t="shared" si="99"/>
        <v>76.501519186379355</v>
      </c>
      <c r="AV85" s="225"/>
      <c r="AX85">
        <f t="shared" si="100"/>
        <v>0</v>
      </c>
      <c r="AY85">
        <f t="shared" si="101"/>
        <v>0</v>
      </c>
    </row>
    <row r="86" spans="14:51" x14ac:dyDescent="0.25">
      <c r="N86" s="170">
        <v>68</v>
      </c>
      <c r="O86" s="199">
        <f t="shared" si="76"/>
        <v>47.863009232263877</v>
      </c>
      <c r="P86" s="189" t="str">
        <f t="shared" si="67"/>
        <v>120,833333333333</v>
      </c>
      <c r="Q86" s="160" t="str">
        <f t="shared" si="68"/>
        <v>1+0,268152839425959i</v>
      </c>
      <c r="R86" s="160">
        <f t="shared" si="77"/>
        <v>1.0353289068176375</v>
      </c>
      <c r="S86" s="160">
        <f t="shared" si="78"/>
        <v>0.26198938335674155</v>
      </c>
      <c r="T86" s="160" t="str">
        <f t="shared" si="69"/>
        <v>1+0,0000180439293819336i</v>
      </c>
      <c r="U86" s="160">
        <f t="shared" si="79"/>
        <v>1.0000000001627916</v>
      </c>
      <c r="V86" s="160">
        <f t="shared" si="80"/>
        <v>1.8043929379975332E-5</v>
      </c>
      <c r="W86" s="98" t="str">
        <f t="shared" si="70"/>
        <v>1-0,000154456035509352i</v>
      </c>
      <c r="X86" s="160">
        <f t="shared" si="81"/>
        <v>1.0000000119283334</v>
      </c>
      <c r="Y86" s="160">
        <f t="shared" si="82"/>
        <v>-1.5445603428108329E-4</v>
      </c>
      <c r="Z86" s="98" t="str">
        <f t="shared" si="71"/>
        <v>0,999999998106721+0,0000598265360651516i</v>
      </c>
      <c r="AA86" s="160">
        <f t="shared" si="83"/>
        <v>0.99999999989632815</v>
      </c>
      <c r="AB86" s="160">
        <f t="shared" si="84"/>
        <v>5.9826536107042588E-5</v>
      </c>
      <c r="AC86" s="171" t="str">
        <f t="shared" si="85"/>
        <v>112,721619397116-30,2503344752877i</v>
      </c>
      <c r="AD86" s="190">
        <f t="shared" si="86"/>
        <v>41.342168432376639</v>
      </c>
      <c r="AE86" s="169">
        <f t="shared" si="87"/>
        <v>-15.022129589483409</v>
      </c>
      <c r="AF86" s="98" t="str">
        <f t="shared" si="72"/>
        <v>-0,0000375877424711299</v>
      </c>
      <c r="AG86" s="98" t="str">
        <f t="shared" si="73"/>
        <v>3,04641674398314E-07i</v>
      </c>
      <c r="AH86" s="98">
        <f t="shared" si="88"/>
        <v>3.0464167439831401E-7</v>
      </c>
      <c r="AI86" s="98">
        <f t="shared" si="89"/>
        <v>1.5707963267948966</v>
      </c>
      <c r="AJ86" s="98" t="str">
        <f t="shared" si="74"/>
        <v>1+0,00027787295000806i</v>
      </c>
      <c r="AK86" s="98">
        <f t="shared" si="90"/>
        <v>1.0000000386066874</v>
      </c>
      <c r="AL86" s="98">
        <f t="shared" si="91"/>
        <v>2.7787294285622411E-4</v>
      </c>
      <c r="AM86" s="98" t="str">
        <f t="shared" si="75"/>
        <v>1+0,0216527152583204i</v>
      </c>
      <c r="AN86" s="98">
        <f t="shared" si="92"/>
        <v>1.0002343925690906</v>
      </c>
      <c r="AO86" s="98">
        <f t="shared" si="93"/>
        <v>2.1649332322998857E-2</v>
      </c>
      <c r="AP86" s="168" t="str">
        <f t="shared" si="94"/>
        <v>-2,63730170075051+123,384188316947i</v>
      </c>
      <c r="AQ86" s="98">
        <f t="shared" si="95"/>
        <v>41.827173913039189</v>
      </c>
      <c r="AR86" s="169">
        <f t="shared" si="96"/>
        <v>91.224494424517431</v>
      </c>
      <c r="AS86" s="168" t="str">
        <f t="shared" si="97"/>
        <v>3435,13204700217+13987,8447736449i</v>
      </c>
      <c r="AT86" s="190">
        <f t="shared" si="98"/>
        <v>83.169342345415799</v>
      </c>
      <c r="AU86" s="169">
        <f t="shared" si="99"/>
        <v>76.20236483503399</v>
      </c>
      <c r="AV86" s="225"/>
      <c r="AX86">
        <f t="shared" si="100"/>
        <v>0</v>
      </c>
      <c r="AY86">
        <f t="shared" si="101"/>
        <v>0</v>
      </c>
    </row>
    <row r="87" spans="14:51" x14ac:dyDescent="0.25">
      <c r="N87" s="170">
        <v>69</v>
      </c>
      <c r="O87" s="199">
        <f t="shared" si="76"/>
        <v>48.977881936844632</v>
      </c>
      <c r="P87" s="189" t="str">
        <f t="shared" si="67"/>
        <v>120,833333333333</v>
      </c>
      <c r="Q87" s="160" t="str">
        <f t="shared" si="68"/>
        <v>1+0,274398921444771i</v>
      </c>
      <c r="R87" s="160">
        <f t="shared" si="77"/>
        <v>1.0369642077188843</v>
      </c>
      <c r="S87" s="160">
        <f t="shared" si="78"/>
        <v>0.26780730712667344</v>
      </c>
      <c r="T87" s="160" t="str">
        <f t="shared" si="69"/>
        <v>1+0,0000184642264897415i</v>
      </c>
      <c r="U87" s="160">
        <f t="shared" si="79"/>
        <v>1.0000000001704639</v>
      </c>
      <c r="V87" s="160">
        <f t="shared" si="80"/>
        <v>1.8464226487643179E-5</v>
      </c>
      <c r="W87" s="98" t="str">
        <f t="shared" si="70"/>
        <v>1-0,000158053778752187i</v>
      </c>
      <c r="X87" s="160">
        <f t="shared" si="81"/>
        <v>1.0000000124904984</v>
      </c>
      <c r="Y87" s="160">
        <f t="shared" si="82"/>
        <v>-1.5805377743607335E-4</v>
      </c>
      <c r="Z87" s="98" t="str">
        <f t="shared" si="71"/>
        <v>0,999999998017494+0,0000612200751079015i</v>
      </c>
      <c r="AA87" s="160">
        <f t="shared" si="83"/>
        <v>0.99999999989144273</v>
      </c>
      <c r="AB87" s="160">
        <f t="shared" si="84"/>
        <v>6.1220075152788479E-5</v>
      </c>
      <c r="AC87" s="171" t="str">
        <f t="shared" si="85"/>
        <v>112,366095208435-30,8573998287889i</v>
      </c>
      <c r="AD87" s="190">
        <f t="shared" si="86"/>
        <v>41.32845990742949</v>
      </c>
      <c r="AE87" s="169">
        <f t="shared" si="87"/>
        <v>-15.355733965183346</v>
      </c>
      <c r="AF87" s="98" t="str">
        <f t="shared" si="72"/>
        <v>-0,0000375877424711299</v>
      </c>
      <c r="AG87" s="98" t="str">
        <f t="shared" si="73"/>
        <v>3,11737690568469E-07i</v>
      </c>
      <c r="AH87" s="98">
        <f t="shared" si="88"/>
        <v>3.1173769056846901E-7</v>
      </c>
      <c r="AI87" s="98">
        <f t="shared" si="89"/>
        <v>1.5707963267948966</v>
      </c>
      <c r="AJ87" s="98" t="str">
        <f t="shared" si="74"/>
        <v>1+0,000284345442487628i</v>
      </c>
      <c r="AK87" s="98">
        <f t="shared" si="90"/>
        <v>1.0000000404261644</v>
      </c>
      <c r="AL87" s="98">
        <f t="shared" si="91"/>
        <v>2.843454348242978E-4</v>
      </c>
      <c r="AM87" s="98" t="str">
        <f t="shared" si="75"/>
        <v>1+0,0221570717876898i</v>
      </c>
      <c r="AN87" s="98">
        <f t="shared" si="92"/>
        <v>1.0002454377952468</v>
      </c>
      <c r="AO87" s="98">
        <f t="shared" si="93"/>
        <v>2.2153446955221655E-2</v>
      </c>
      <c r="AP87" s="168" t="str">
        <f t="shared" si="94"/>
        <v>-2,6373016911535+120,575655052011i</v>
      </c>
      <c r="AQ87" s="98">
        <f t="shared" si="95"/>
        <v>41.627269811839454</v>
      </c>
      <c r="AR87" s="169">
        <f t="shared" si="96"/>
        <v>91.253007218861896</v>
      </c>
      <c r="AS87" s="168" t="str">
        <f t="shared" si="97"/>
        <v>3424,30790463651+13629,9958081468i</v>
      </c>
      <c r="AT87" s="190">
        <f t="shared" si="98"/>
        <v>82.955729719268987</v>
      </c>
      <c r="AU87" s="169">
        <f t="shared" si="99"/>
        <v>75.89727325367862</v>
      </c>
      <c r="AV87" s="225"/>
      <c r="AX87">
        <f t="shared" si="100"/>
        <v>0</v>
      </c>
      <c r="AY87">
        <f t="shared" si="101"/>
        <v>0</v>
      </c>
    </row>
    <row r="88" spans="14:51" x14ac:dyDescent="0.25">
      <c r="N88" s="170">
        <v>70</v>
      </c>
      <c r="O88" s="199">
        <f t="shared" si="76"/>
        <v>50.118723362727238</v>
      </c>
      <c r="P88" s="189" t="str">
        <f t="shared" si="67"/>
        <v>120,833333333333</v>
      </c>
      <c r="Q88" s="160" t="str">
        <f t="shared" si="68"/>
        <v>1+0,280790493403831i</v>
      </c>
      <c r="R88" s="160">
        <f t="shared" si="77"/>
        <v>1.0386738184752549</v>
      </c>
      <c r="S88" s="160">
        <f t="shared" si="78"/>
        <v>0.27374157683428441</v>
      </c>
      <c r="T88" s="160" t="str">
        <f t="shared" si="69"/>
        <v>1+0,0000188943135748371i</v>
      </c>
      <c r="U88" s="160">
        <f t="shared" si="79"/>
        <v>1.0000000001784977</v>
      </c>
      <c r="V88" s="160">
        <f t="shared" si="80"/>
        <v>1.8894313572588708E-5</v>
      </c>
      <c r="W88" s="98" t="str">
        <f t="shared" si="70"/>
        <v>1-0,000161735324200606i</v>
      </c>
      <c r="X88" s="160">
        <f t="shared" si="81"/>
        <v>1.0000000130791575</v>
      </c>
      <c r="Y88" s="160">
        <f t="shared" si="82"/>
        <v>-1.6173532279036484E-4</v>
      </c>
      <c r="Z88" s="98" t="str">
        <f t="shared" si="71"/>
        <v>0,999999997924061+0,0000626460738448169i</v>
      </c>
      <c r="AA88" s="160">
        <f t="shared" si="83"/>
        <v>0.99999999988632626</v>
      </c>
      <c r="AB88" s="160">
        <f t="shared" si="84"/>
        <v>6.2646073892914177E-5</v>
      </c>
      <c r="AC88" s="171" t="str">
        <f t="shared" si="85"/>
        <v>111,996209574081-31,4723006350315i</v>
      </c>
      <c r="AD88" s="190">
        <f t="shared" si="86"/>
        <v>41.314151547205242</v>
      </c>
      <c r="AE88" s="169">
        <f t="shared" si="87"/>
        <v>-15.696010572467317</v>
      </c>
      <c r="AF88" s="98" t="str">
        <f t="shared" si="72"/>
        <v>-0,0000375877424711299</v>
      </c>
      <c r="AG88" s="98" t="str">
        <f t="shared" si="73"/>
        <v>3,18998994188501E-07i</v>
      </c>
      <c r="AH88" s="98">
        <f t="shared" si="88"/>
        <v>3.1899899418850098E-7</v>
      </c>
      <c r="AI88" s="98">
        <f t="shared" si="89"/>
        <v>1.5707963267948966</v>
      </c>
      <c r="AJ88" s="98" t="str">
        <f t="shared" si="74"/>
        <v>1+0,00029096869868456i</v>
      </c>
      <c r="AK88" s="98">
        <f t="shared" si="90"/>
        <v>1.0000000423313908</v>
      </c>
      <c r="AL88" s="98">
        <f t="shared" si="91"/>
        <v>2.9096869047315376E-4</v>
      </c>
      <c r="AM88" s="98" t="str">
        <f t="shared" si="75"/>
        <v>1+0,0226731762898046i</v>
      </c>
      <c r="AN88" s="98">
        <f t="shared" si="92"/>
        <v>1.0002570034361511</v>
      </c>
      <c r="AO88" s="98">
        <f t="shared" si="93"/>
        <v>2.2669292265733682E-2</v>
      </c>
      <c r="AP88" s="168" t="str">
        <f t="shared" si="94"/>
        <v>-2,63730168110419+117,831052595391i</v>
      </c>
      <c r="AQ88" s="98">
        <f t="shared" si="95"/>
        <v>41.427370227940614</v>
      </c>
      <c r="AR88" s="169">
        <f t="shared" si="96"/>
        <v>91.282183493440527</v>
      </c>
      <c r="AS88" s="168" t="str">
        <f t="shared" si="97"/>
        <v>3413,04651963733+13279,633212181i</v>
      </c>
      <c r="AT88" s="190">
        <f t="shared" si="98"/>
        <v>82.741521775145884</v>
      </c>
      <c r="AU88" s="169">
        <f t="shared" si="99"/>
        <v>75.586172920973283</v>
      </c>
      <c r="AV88" s="225"/>
      <c r="AX88">
        <f t="shared" si="100"/>
        <v>0</v>
      </c>
      <c r="AY88">
        <f t="shared" si="101"/>
        <v>0</v>
      </c>
    </row>
    <row r="89" spans="14:51" x14ac:dyDescent="0.25">
      <c r="N89" s="170">
        <v>71</v>
      </c>
      <c r="O89" s="199">
        <f t="shared" si="76"/>
        <v>51.28613839913649</v>
      </c>
      <c r="P89" s="189" t="str">
        <f t="shared" si="67"/>
        <v>120,833333333333</v>
      </c>
      <c r="Q89" s="160" t="str">
        <f t="shared" si="68"/>
        <v>1+0,287330944199195i</v>
      </c>
      <c r="R89" s="160">
        <f t="shared" si="77"/>
        <v>1.040460989895537</v>
      </c>
      <c r="S89" s="160">
        <f t="shared" si="78"/>
        <v>0.27979366641314102</v>
      </c>
      <c r="T89" s="160" t="str">
        <f t="shared" si="69"/>
        <v>1+0,0000193344186750859i</v>
      </c>
      <c r="U89" s="160">
        <f t="shared" si="79"/>
        <v>1.0000000001869098</v>
      </c>
      <c r="V89" s="160">
        <f t="shared" si="80"/>
        <v>1.9334418672676706E-5</v>
      </c>
      <c r="W89" s="98" t="str">
        <f t="shared" si="70"/>
        <v>1-0,000165502623858736i</v>
      </c>
      <c r="X89" s="160">
        <f t="shared" si="81"/>
        <v>1.0000000136955591</v>
      </c>
      <c r="Y89" s="160">
        <f t="shared" si="82"/>
        <v>-1.6550262234763538E-4</v>
      </c>
      <c r="Z89" s="98" t="str">
        <f t="shared" si="71"/>
        <v>0,999999997826225+0,0000641052883593038i</v>
      </c>
      <c r="AA89" s="160">
        <f t="shared" si="83"/>
        <v>0.99999999988096888</v>
      </c>
      <c r="AB89" s="160">
        <f t="shared" si="84"/>
        <v>6.4105288410840969E-5</v>
      </c>
      <c r="AC89" s="171" t="str">
        <f t="shared" si="85"/>
        <v>111,611490788117-32,0948430787583i</v>
      </c>
      <c r="AD89" s="190">
        <f t="shared" si="86"/>
        <v>41.299219209204452</v>
      </c>
      <c r="AE89" s="169">
        <f t="shared" si="87"/>
        <v>-16.043044003604233</v>
      </c>
      <c r="AF89" s="98" t="str">
        <f t="shared" si="72"/>
        <v>-0,0000375877424711299</v>
      </c>
      <c r="AG89" s="98" t="str">
        <f t="shared" si="73"/>
        <v>3,26429435297702E-07i</v>
      </c>
      <c r="AH89" s="98">
        <f t="shared" si="88"/>
        <v>3.2642943529770202E-7</v>
      </c>
      <c r="AI89" s="98">
        <f t="shared" si="89"/>
        <v>1.5707963267948966</v>
      </c>
      <c r="AJ89" s="98" t="str">
        <f t="shared" si="74"/>
        <v>1+0,00029774623033696i</v>
      </c>
      <c r="AK89" s="98">
        <f t="shared" si="90"/>
        <v>1.0000000443264079</v>
      </c>
      <c r="AL89" s="98">
        <f t="shared" si="91"/>
        <v>2.9774622153827974E-4</v>
      </c>
      <c r="AM89" s="98" t="str">
        <f t="shared" si="75"/>
        <v>1+0,0232013024101032i</v>
      </c>
      <c r="AN89" s="98">
        <f t="shared" si="92"/>
        <v>1.0002691140055886</v>
      </c>
      <c r="AO89" s="98">
        <f t="shared" si="93"/>
        <v>2.3197140663800533E-2</v>
      </c>
      <c r="AP89" s="168" t="str">
        <f t="shared" si="94"/>
        <v>-2,63730167058127+115,148925722535i</v>
      </c>
      <c r="AQ89" s="98">
        <f t="shared" si="95"/>
        <v>41.227475374017558</v>
      </c>
      <c r="AR89" s="169">
        <f t="shared" si="96"/>
        <v>91.31203865494696</v>
      </c>
      <c r="AS89" s="168" t="str">
        <f t="shared" si="97"/>
        <v>3401,33353064079+12936,5870458109i</v>
      </c>
      <c r="AT89" s="190">
        <f t="shared" si="98"/>
        <v>82.526694583221968</v>
      </c>
      <c r="AU89" s="169">
        <f t="shared" si="99"/>
        <v>75.268994651342695</v>
      </c>
      <c r="AV89" s="225"/>
      <c r="AX89">
        <f t="shared" si="100"/>
        <v>0</v>
      </c>
      <c r="AY89">
        <f t="shared" si="101"/>
        <v>0</v>
      </c>
    </row>
    <row r="90" spans="14:51" x14ac:dyDescent="0.25">
      <c r="N90" s="170">
        <v>72</v>
      </c>
      <c r="O90" s="199">
        <f t="shared" si="76"/>
        <v>52.480746024977286</v>
      </c>
      <c r="P90" s="189" t="str">
        <f t="shared" si="67"/>
        <v>120,833333333333</v>
      </c>
      <c r="Q90" s="160" t="str">
        <f t="shared" si="68"/>
        <v>1+0,29402374166445i</v>
      </c>
      <c r="R90" s="160">
        <f t="shared" si="77"/>
        <v>1.0423291038162386</v>
      </c>
      <c r="S90" s="160">
        <f t="shared" si="78"/>
        <v>0.28596501067019908</v>
      </c>
      <c r="T90" s="160" t="str">
        <f t="shared" si="69"/>
        <v>1+0,0000197847751400376i</v>
      </c>
      <c r="U90" s="160">
        <f t="shared" si="79"/>
        <v>1.0000000001957186</v>
      </c>
      <c r="V90" s="160">
        <f t="shared" si="80"/>
        <v>1.9784775137456102E-5</v>
      </c>
      <c r="W90" s="98" t="str">
        <f t="shared" si="70"/>
        <v>1-0,000169357675198722i</v>
      </c>
      <c r="X90" s="160">
        <f t="shared" si="81"/>
        <v>1.000000014341011</v>
      </c>
      <c r="Y90" s="160">
        <f t="shared" si="82"/>
        <v>-1.693576735795485E-4</v>
      </c>
      <c r="Z90" s="98" t="str">
        <f t="shared" si="71"/>
        <v>0,999999997723778+0,0000655984923462127i</v>
      </c>
      <c r="AA90" s="160">
        <f t="shared" si="83"/>
        <v>0.99999999987535915</v>
      </c>
      <c r="AB90" s="160">
        <f t="shared" si="84"/>
        <v>6.5598492401435778E-5</v>
      </c>
      <c r="AC90" s="171" t="str">
        <f t="shared" si="85"/>
        <v>111,211461274337-32,7248098364259i</v>
      </c>
      <c r="AD90" s="190">
        <f t="shared" si="86"/>
        <v>41.283637965777231</v>
      </c>
      <c r="AE90" s="169">
        <f t="shared" si="87"/>
        <v>-16.396916612383301</v>
      </c>
      <c r="AF90" s="98" t="str">
        <f t="shared" si="72"/>
        <v>-0,0000375877424711299</v>
      </c>
      <c r="AG90" s="98" t="str">
        <f t="shared" si="73"/>
        <v>3,34032953614302E-07i</v>
      </c>
      <c r="AH90" s="98">
        <f t="shared" si="88"/>
        <v>3.3403295361430201E-7</v>
      </c>
      <c r="AI90" s="98">
        <f t="shared" si="89"/>
        <v>1.5707963267948966</v>
      </c>
      <c r="AJ90" s="98" t="str">
        <f t="shared" si="74"/>
        <v>1+0,000304681630981823i</v>
      </c>
      <c r="AK90" s="98">
        <f t="shared" si="90"/>
        <v>1.000000046415447</v>
      </c>
      <c r="AL90" s="98">
        <f t="shared" si="91"/>
        <v>3.0468162155386725E-4</v>
      </c>
      <c r="AM90" s="98" t="str">
        <f t="shared" si="75"/>
        <v>1+0,0237417301680452i</v>
      </c>
      <c r="AN90" s="98">
        <f t="shared" si="92"/>
        <v>1.0002817951714269</v>
      </c>
      <c r="AO90" s="98">
        <f t="shared" si="93"/>
        <v>2.3737270844385931E-2</v>
      </c>
      <c r="AP90" s="168" t="str">
        <f t="shared" si="94"/>
        <v>-2,63730165956242+112,527852334273i</v>
      </c>
      <c r="AQ90" s="98">
        <f t="shared" si="95"/>
        <v>41.027585472747141</v>
      </c>
      <c r="AR90" s="169">
        <f t="shared" si="96"/>
        <v>91.342588465532003</v>
      </c>
      <c r="AS90" s="168" t="str">
        <f t="shared" si="97"/>
        <v>3389,15439755933+12600,6920874478i</v>
      </c>
      <c r="AT90" s="190">
        <f t="shared" si="98"/>
        <v>82.311223438524365</v>
      </c>
      <c r="AU90" s="169">
        <f t="shared" si="99"/>
        <v>74.945671853148738</v>
      </c>
      <c r="AV90" s="225"/>
      <c r="AX90">
        <f t="shared" si="100"/>
        <v>0</v>
      </c>
      <c r="AY90">
        <f t="shared" si="101"/>
        <v>0</v>
      </c>
    </row>
    <row r="91" spans="14:51" x14ac:dyDescent="0.25">
      <c r="N91" s="170">
        <v>73</v>
      </c>
      <c r="O91" s="199">
        <f t="shared" si="76"/>
        <v>53.703179637025293</v>
      </c>
      <c r="P91" s="189" t="str">
        <f t="shared" si="67"/>
        <v>120,833333333333</v>
      </c>
      <c r="Q91" s="160" t="str">
        <f t="shared" si="68"/>
        <v>1+0,300872434409398i</v>
      </c>
      <c r="R91" s="160">
        <f t="shared" si="77"/>
        <v>1.0442816774163175</v>
      </c>
      <c r="S91" s="160">
        <f t="shared" si="78"/>
        <v>0.29225700070259109</v>
      </c>
      <c r="T91" s="160" t="str">
        <f t="shared" si="69"/>
        <v>1+0,0000202456217546509i</v>
      </c>
      <c r="U91" s="160">
        <f t="shared" si="79"/>
        <v>1.0000000002049427</v>
      </c>
      <c r="V91" s="160">
        <f t="shared" si="80"/>
        <v>2.0245621751884773E-5</v>
      </c>
      <c r="W91" s="98" t="str">
        <f t="shared" si="70"/>
        <v>1-0,000173302522219812i</v>
      </c>
      <c r="X91" s="160">
        <f t="shared" si="81"/>
        <v>1.000000015016882</v>
      </c>
      <c r="Y91" s="160">
        <f t="shared" si="82"/>
        <v>-1.7330252048483634E-4</v>
      </c>
      <c r="Z91" s="98" t="str">
        <f t="shared" si="71"/>
        <v>0,999999997616503+0,000067126477522062i</v>
      </c>
      <c r="AA91" s="160">
        <f t="shared" si="83"/>
        <v>0.99999999986948507</v>
      </c>
      <c r="AB91" s="160">
        <f t="shared" si="84"/>
        <v>6.7126477581234604E-5</v>
      </c>
      <c r="AC91" s="171" t="str">
        <f t="shared" si="85"/>
        <v>110,795638452054-33,3619589545111i</v>
      </c>
      <c r="AD91" s="190">
        <f t="shared" si="86"/>
        <v>41.267382095116794</v>
      </c>
      <c r="AE91" s="169">
        <f t="shared" si="87"/>
        <v>-16.757708251592149</v>
      </c>
      <c r="AF91" s="98" t="str">
        <f t="shared" si="72"/>
        <v>-0,0000375877424711299</v>
      </c>
      <c r="AG91" s="98" t="str">
        <f t="shared" si="73"/>
        <v>3,41813580624358E-07i</v>
      </c>
      <c r="AH91" s="98">
        <f t="shared" si="88"/>
        <v>3.4181358062435802E-7</v>
      </c>
      <c r="AI91" s="98">
        <f t="shared" si="89"/>
        <v>1.5707963267948966</v>
      </c>
      <c r="AJ91" s="98" t="str">
        <f t="shared" si="74"/>
        <v>1+0,00031177857786037i</v>
      </c>
      <c r="AK91" s="98">
        <f t="shared" si="90"/>
        <v>1.0000000486029397</v>
      </c>
      <c r="AL91" s="98">
        <f t="shared" si="91"/>
        <v>3.1177856775813339E-4</v>
      </c>
      <c r="AM91" s="98" t="str">
        <f t="shared" si="75"/>
        <v>1+0,0242947461055812i</v>
      </c>
      <c r="AN91" s="98">
        <f t="shared" si="92"/>
        <v>1.0002950738098906</v>
      </c>
      <c r="AO91" s="98">
        <f t="shared" si="93"/>
        <v>2.4289967930315362E-2</v>
      </c>
      <c r="AP91" s="168" t="str">
        <f t="shared" si="94"/>
        <v>-2,63730164802426+109,966442702801i</v>
      </c>
      <c r="AQ91" s="98">
        <f t="shared" si="95"/>
        <v>40.827700757277583</v>
      </c>
      <c r="AR91" s="169">
        <f t="shared" si="96"/>
        <v>91.373849050840008</v>
      </c>
      <c r="AS91" s="168" t="str">
        <f t="shared" si="97"/>
        <v>3376,49442794094+12271,7877768901i</v>
      </c>
      <c r="AT91" s="190">
        <f t="shared" si="98"/>
        <v>82.09508285239437</v>
      </c>
      <c r="AU91" s="169">
        <f t="shared" si="99"/>
        <v>74.616140799247873</v>
      </c>
      <c r="AV91" s="225"/>
      <c r="AX91">
        <f t="shared" si="100"/>
        <v>0</v>
      </c>
      <c r="AY91">
        <f t="shared" si="101"/>
        <v>0</v>
      </c>
    </row>
    <row r="92" spans="14:51" x14ac:dyDescent="0.25">
      <c r="N92" s="170">
        <v>74</v>
      </c>
      <c r="O92" s="199">
        <f t="shared" si="76"/>
        <v>54.95408738576247</v>
      </c>
      <c r="P92" s="189" t="str">
        <f t="shared" si="67"/>
        <v>120,833333333333</v>
      </c>
      <c r="Q92" s="160" t="str">
        <f t="shared" si="68"/>
        <v>1+0,307880653701588i</v>
      </c>
      <c r="R92" s="160">
        <f t="shared" si="77"/>
        <v>1.0463223675921858</v>
      </c>
      <c r="S92" s="160">
        <f t="shared" si="78"/>
        <v>0.29867097910089413</v>
      </c>
      <c r="T92" s="160" t="str">
        <f t="shared" si="69"/>
        <v>1+0,0000207172028659011i</v>
      </c>
      <c r="U92" s="160">
        <f t="shared" si="79"/>
        <v>1.0000000002146012</v>
      </c>
      <c r="V92" s="160">
        <f t="shared" si="80"/>
        <v>2.071720286293714E-5</v>
      </c>
      <c r="W92" s="98" t="str">
        <f t="shared" si="70"/>
        <v>1-0,000177339256532114i</v>
      </c>
      <c r="X92" s="160">
        <f t="shared" si="81"/>
        <v>1.0000000157246058</v>
      </c>
      <c r="Y92" s="160">
        <f t="shared" si="82"/>
        <v>-1.7733925467305409E-4</v>
      </c>
      <c r="Z92" s="98" t="str">
        <f t="shared" si="71"/>
        <v>0,999999997504172+0,0000686900540448177i</v>
      </c>
      <c r="AA92" s="160">
        <f t="shared" si="83"/>
        <v>0.99999999986333377</v>
      </c>
      <c r="AB92" s="160">
        <f t="shared" si="84"/>
        <v>6.8690054108222292E-5</v>
      </c>
      <c r="AC92" s="171" t="str">
        <f t="shared" si="85"/>
        <v>110,363535701014-34,0060227294525i</v>
      </c>
      <c r="AD92" s="190">
        <f t="shared" si="86"/>
        <v>41.250425073766088</v>
      </c>
      <c r="AE92" s="169">
        <f t="shared" si="87"/>
        <v>-17.125495998263567</v>
      </c>
      <c r="AF92" s="98" t="str">
        <f t="shared" si="72"/>
        <v>-0,0000375877424711299</v>
      </c>
      <c r="AG92" s="98" t="str">
        <f t="shared" si="73"/>
        <v>3,49775441719298E-07i</v>
      </c>
      <c r="AH92" s="98">
        <f t="shared" si="88"/>
        <v>3.4977544171929798E-7</v>
      </c>
      <c r="AI92" s="98">
        <f t="shared" si="89"/>
        <v>1.5707963267948966</v>
      </c>
      <c r="AJ92" s="98" t="str">
        <f t="shared" si="74"/>
        <v>1+0,000319040833867776i</v>
      </c>
      <c r="AK92" s="98">
        <f t="shared" si="90"/>
        <v>1.0000000508935256</v>
      </c>
      <c r="AL92" s="98">
        <f t="shared" si="91"/>
        <v>3.1904082304303453E-4</v>
      </c>
      <c r="AM92" s="98" t="str">
        <f t="shared" si="75"/>
        <v>1+0,0248606434390814i</v>
      </c>
      <c r="AN92" s="98">
        <f t="shared" si="92"/>
        <v>1.0003089780623811</v>
      </c>
      <c r="AO92" s="98">
        <f t="shared" si="93"/>
        <v>2.4855523617448763E-2</v>
      </c>
      <c r="AP92" s="168" t="str">
        <f t="shared" si="94"/>
        <v>-2,63730163594233+107,463338734827i</v>
      </c>
      <c r="AQ92" s="98">
        <f t="shared" si="95"/>
        <v>40.627821471719521</v>
      </c>
      <c r="AR92" s="169">
        <f t="shared" si="96"/>
        <v>91.405836908214809</v>
      </c>
      <c r="AS92" s="168" t="str">
        <f t="shared" si="97"/>
        <v>3363,33880634672+11949,7181603875i</v>
      </c>
      <c r="AT92" s="190">
        <f t="shared" si="98"/>
        <v>81.878246545485609</v>
      </c>
      <c r="AU92" s="169">
        <f t="shared" si="99"/>
        <v>74.280340909951207</v>
      </c>
      <c r="AV92" s="225"/>
      <c r="AX92">
        <f t="shared" si="100"/>
        <v>0</v>
      </c>
      <c r="AY92">
        <f t="shared" si="101"/>
        <v>0</v>
      </c>
    </row>
    <row r="93" spans="14:51" x14ac:dyDescent="0.25">
      <c r="N93" s="170">
        <v>75</v>
      </c>
      <c r="O93" s="199">
        <f t="shared" si="76"/>
        <v>56.234132519034915</v>
      </c>
      <c r="P93" s="189" t="str">
        <f t="shared" si="67"/>
        <v>120,833333333333</v>
      </c>
      <c r="Q93" s="160" t="str">
        <f t="shared" si="68"/>
        <v>1+0,315052115391652i</v>
      </c>
      <c r="R93" s="160">
        <f t="shared" si="77"/>
        <v>1.0484549753865231</v>
      </c>
      <c r="S93" s="160">
        <f t="shared" si="78"/>
        <v>0.30520823493977789</v>
      </c>
      <c r="T93" s="160" t="str">
        <f t="shared" si="69"/>
        <v>1+0,0000211997685123354i</v>
      </c>
      <c r="U93" s="160">
        <f t="shared" si="79"/>
        <v>1.0000000002247151</v>
      </c>
      <c r="V93" s="160">
        <f t="shared" si="80"/>
        <v>2.1199768509159459E-5</v>
      </c>
      <c r="W93" s="98" t="str">
        <f t="shared" si="70"/>
        <v>1-0,000181470018465591i</v>
      </c>
      <c r="X93" s="160">
        <f t="shared" si="81"/>
        <v>1.0000000164656837</v>
      </c>
      <c r="Y93" s="160">
        <f t="shared" si="82"/>
        <v>-1.8147001647357241E-4</v>
      </c>
      <c r="Z93" s="98" t="str">
        <f t="shared" si="71"/>
        <v>0,999999997386547+0,0000702900509434482i</v>
      </c>
      <c r="AA93" s="160">
        <f t="shared" si="83"/>
        <v>0.99999999985689247</v>
      </c>
      <c r="AB93" s="160">
        <f t="shared" si="84"/>
        <v>7.0290051011387463E-5</v>
      </c>
      <c r="AC93" s="171" t="str">
        <f t="shared" si="85"/>
        <v>109,914663430195-34,6567065959263i</v>
      </c>
      <c r="AD93" s="190">
        <f t="shared" si="86"/>
        <v>41.232739570806132</v>
      </c>
      <c r="AE93" s="169">
        <f t="shared" si="87"/>
        <v>-17.500353866741222</v>
      </c>
      <c r="AF93" s="98" t="str">
        <f t="shared" si="72"/>
        <v>-0,0000375877424711299</v>
      </c>
      <c r="AG93" s="98" t="str">
        <f t="shared" si="73"/>
        <v>3,57922758383263E-07i</v>
      </c>
      <c r="AH93" s="98">
        <f t="shared" si="88"/>
        <v>3.57922758383263E-7</v>
      </c>
      <c r="AI93" s="98">
        <f t="shared" si="89"/>
        <v>1.5707963267948966</v>
      </c>
      <c r="AJ93" s="98" t="str">
        <f t="shared" si="74"/>
        <v>1+0,000326472249548303i</v>
      </c>
      <c r="AK93" s="98">
        <f t="shared" si="90"/>
        <v>1.0000000532920634</v>
      </c>
      <c r="AL93" s="98">
        <f t="shared" si="91"/>
        <v>3.2647223794938352E-4</v>
      </c>
      <c r="AM93" s="98" t="str">
        <f t="shared" si="75"/>
        <v>1+0,0254397222148025i</v>
      </c>
      <c r="AN93" s="98">
        <f t="shared" si="92"/>
        <v>1.0003235373949602</v>
      </c>
      <c r="AO93" s="98">
        <f t="shared" si="93"/>
        <v>2.5434236322909785E-2</v>
      </c>
      <c r="AP93" s="168" t="str">
        <f t="shared" si="94"/>
        <v>-2,63730162329099+105,017213251495i</v>
      </c>
      <c r="AQ93" s="98">
        <f t="shared" si="95"/>
        <v>40.427947871660486</v>
      </c>
      <c r="AR93" s="169">
        <f t="shared" si="96"/>
        <v>91.438568915078378</v>
      </c>
      <c r="AS93" s="168" t="str">
        <f t="shared" si="97"/>
        <v>3349,67262689095+11634,3318374784i</v>
      </c>
      <c r="AT93" s="190">
        <f t="shared" si="98"/>
        <v>81.660687442466582</v>
      </c>
      <c r="AU93" s="169">
        <f t="shared" si="99"/>
        <v>73.938215048337099</v>
      </c>
      <c r="AV93" s="225"/>
      <c r="AX93">
        <f t="shared" si="100"/>
        <v>0</v>
      </c>
      <c r="AY93">
        <f t="shared" si="101"/>
        <v>0</v>
      </c>
    </row>
    <row r="94" spans="14:51" x14ac:dyDescent="0.25">
      <c r="N94" s="170">
        <v>76</v>
      </c>
      <c r="O94" s="199">
        <f t="shared" si="76"/>
        <v>57.543993733715695</v>
      </c>
      <c r="P94" s="189" t="str">
        <f t="shared" si="67"/>
        <v>120,833333333333</v>
      </c>
      <c r="Q94" s="160" t="str">
        <f t="shared" si="68"/>
        <v>1+0,322390621883505i</v>
      </c>
      <c r="R94" s="160">
        <f t="shared" si="77"/>
        <v>1.0506834504637603</v>
      </c>
      <c r="S94" s="160">
        <f t="shared" si="78"/>
        <v>0.31186999855835296</v>
      </c>
      <c r="T94" s="160" t="str">
        <f t="shared" si="69"/>
        <v>1+0,000021693574556647i</v>
      </c>
      <c r="U94" s="160">
        <f t="shared" si="79"/>
        <v>1.0000000002353056</v>
      </c>
      <c r="V94" s="160">
        <f t="shared" si="80"/>
        <v>2.1693574553243921E-5</v>
      </c>
      <c r="W94" s="98" t="str">
        <f t="shared" si="70"/>
        <v>1-0,000185696998204898i</v>
      </c>
      <c r="X94" s="160">
        <f t="shared" si="81"/>
        <v>1.0000000172416874</v>
      </c>
      <c r="Y94" s="160">
        <f t="shared" si="82"/>
        <v>-1.8569699607041162E-4</v>
      </c>
      <c r="Z94" s="98" t="str">
        <f t="shared" si="71"/>
        <v>0,999999997263379+0,0000719273165574878i</v>
      </c>
      <c r="AA94" s="160">
        <f t="shared" si="83"/>
        <v>0.99999999985014842</v>
      </c>
      <c r="AB94" s="160">
        <f t="shared" si="84"/>
        <v>7.1927316630286027E-5</v>
      </c>
      <c r="AC94" s="171" t="str">
        <f t="shared" si="85"/>
        <v>109,44853025497-35,3136880308995i</v>
      </c>
      <c r="AD94" s="190">
        <f t="shared" si="86"/>
        <v>41.214297443900222</v>
      </c>
      <c r="AE94" s="169">
        <f t="shared" si="87"/>
        <v>-17.882352509697913</v>
      </c>
      <c r="AF94" s="98" t="str">
        <f t="shared" si="72"/>
        <v>-0,0000375877424711299</v>
      </c>
      <c r="AG94" s="98" t="str">
        <f t="shared" si="73"/>
        <v>3,6625985043139E-07i</v>
      </c>
      <c r="AH94" s="98">
        <f t="shared" si="88"/>
        <v>3.6625985043139E-7</v>
      </c>
      <c r="AI94" s="98">
        <f t="shared" si="89"/>
        <v>1.5707963267948966</v>
      </c>
      <c r="AJ94" s="98" t="str">
        <f t="shared" si="74"/>
        <v>1+0,000334076765136913i</v>
      </c>
      <c r="AK94" s="98">
        <f t="shared" si="90"/>
        <v>1.0000000558036408</v>
      </c>
      <c r="AL94" s="98">
        <f t="shared" si="91"/>
        <v>3.3407675270844694E-4</v>
      </c>
      <c r="AM94" s="98" t="str">
        <f t="shared" si="75"/>
        <v>1+0,0260322894679764i</v>
      </c>
      <c r="AN94" s="98">
        <f t="shared" si="92"/>
        <v>1.0003387826606267</v>
      </c>
      <c r="AO94" s="98">
        <f t="shared" si="93"/>
        <v>2.6026411336420911E-2</v>
      </c>
      <c r="AP94" s="168" t="str">
        <f t="shared" si="94"/>
        <v>-2,63730161004342+102,626769284697i</v>
      </c>
      <c r="AQ94" s="98">
        <f t="shared" si="95"/>
        <v>40.228080224703085</v>
      </c>
      <c r="AR94" s="169">
        <f t="shared" si="96"/>
        <v>91.472062337484715</v>
      </c>
      <c r="AS94" s="168" t="str">
        <f t="shared" si="97"/>
        <v>3335,48092908057+11325,4819093264i</v>
      </c>
      <c r="AT94" s="190">
        <f t="shared" si="98"/>
        <v>81.442377668603285</v>
      </c>
      <c r="AU94" s="169">
        <f t="shared" si="99"/>
        <v>73.589709827786763</v>
      </c>
      <c r="AV94" s="225"/>
      <c r="AX94">
        <f t="shared" si="100"/>
        <v>0</v>
      </c>
      <c r="AY94">
        <f t="shared" si="101"/>
        <v>0</v>
      </c>
    </row>
    <row r="95" spans="14:51" x14ac:dyDescent="0.25">
      <c r="N95" s="170">
        <v>77</v>
      </c>
      <c r="O95" s="199">
        <f t="shared" si="76"/>
        <v>58.884365535558949</v>
      </c>
      <c r="P95" s="189" t="str">
        <f t="shared" si="67"/>
        <v>120,833333333333</v>
      </c>
      <c r="Q95" s="160" t="str">
        <f t="shared" si="68"/>
        <v>1+0,329900064150425i</v>
      </c>
      <c r="R95" s="160">
        <f t="shared" si="77"/>
        <v>1.0530118956243821</v>
      </c>
      <c r="S95" s="160">
        <f t="shared" si="78"/>
        <v>0.31865743613396574</v>
      </c>
      <c r="T95" s="160" t="str">
        <f t="shared" si="69"/>
        <v>1+0,0000221988828213369i</v>
      </c>
      <c r="U95" s="160">
        <f t="shared" si="79"/>
        <v>1.0000000002463953</v>
      </c>
      <c r="V95" s="160">
        <f t="shared" si="80"/>
        <v>2.2198882817690434E-5</v>
      </c>
      <c r="W95" s="98" t="str">
        <f t="shared" si="70"/>
        <v>1-0,000190022436950644i</v>
      </c>
      <c r="X95" s="160">
        <f t="shared" si="81"/>
        <v>1.0000000180542632</v>
      </c>
      <c r="Y95" s="160">
        <f t="shared" si="82"/>
        <v>-1.9002243466350065E-4</v>
      </c>
      <c r="Z95" s="98" t="str">
        <f t="shared" si="71"/>
        <v>0,999999997134406+0,0000736027189868367i</v>
      </c>
      <c r="AA95" s="160">
        <f t="shared" si="83"/>
        <v>0.99999999984308618</v>
      </c>
      <c r="AB95" s="160">
        <f t="shared" si="84"/>
        <v>7.3602719064841407E-5</v>
      </c>
      <c r="AC95" s="171" t="str">
        <f t="shared" si="85"/>
        <v>108,964644286819-35,9766154816733i</v>
      </c>
      <c r="AD95" s="190">
        <f t="shared" si="86"/>
        <v>41.195069737378631</v>
      </c>
      <c r="AE95" s="169">
        <f t="shared" si="87"/>
        <v>-18.271558907322596</v>
      </c>
      <c r="AF95" s="98" t="str">
        <f t="shared" si="72"/>
        <v>-0,0000375877424711299</v>
      </c>
      <c r="AG95" s="98" t="str">
        <f t="shared" si="73"/>
        <v>3,74791138300239E-07i</v>
      </c>
      <c r="AH95" s="98">
        <f t="shared" si="88"/>
        <v>3.7479113830023902E-7</v>
      </c>
      <c r="AI95" s="98">
        <f t="shared" si="89"/>
        <v>1.5707963267948966</v>
      </c>
      <c r="AJ95" s="98" t="str">
        <f t="shared" si="74"/>
        <v>1+0,000341858412648426i</v>
      </c>
      <c r="AK95" s="98">
        <f t="shared" si="90"/>
        <v>1.0000000584335855</v>
      </c>
      <c r="AL95" s="98">
        <f t="shared" si="91"/>
        <v>3.418583993310847E-4</v>
      </c>
      <c r="AM95" s="98" t="str">
        <f t="shared" si="75"/>
        <v>1+0,0266386593856043i</v>
      </c>
      <c r="AN95" s="98">
        <f t="shared" si="92"/>
        <v>1.0003547461645104</v>
      </c>
      <c r="AO95" s="98">
        <f t="shared" si="93"/>
        <v>2.6632360974791183E-2</v>
      </c>
      <c r="AP95" s="168" t="str">
        <f t="shared" si="94"/>
        <v>-2,6373015961715+100,290739389398i</v>
      </c>
      <c r="AQ95" s="98">
        <f t="shared" si="95"/>
        <v>40.028218811027898</v>
      </c>
      <c r="AR95" s="169">
        <f t="shared" si="96"/>
        <v>91.506334838851686</v>
      </c>
      <c r="AS95" s="168" t="str">
        <f t="shared" si="97"/>
        <v>3320,74873708119+11023,0259282625i</v>
      </c>
      <c r="AT95" s="190">
        <f t="shared" si="98"/>
        <v>81.223288548406529</v>
      </c>
      <c r="AU95" s="169">
        <f t="shared" si="99"/>
        <v>73.234775931529114</v>
      </c>
      <c r="AV95" s="225"/>
      <c r="AX95">
        <f t="shared" si="100"/>
        <v>0</v>
      </c>
      <c r="AY95">
        <f t="shared" si="101"/>
        <v>0</v>
      </c>
    </row>
    <row r="96" spans="14:51" x14ac:dyDescent="0.25">
      <c r="N96" s="170">
        <v>78</v>
      </c>
      <c r="O96" s="199">
        <f t="shared" si="76"/>
        <v>60.255958607435822</v>
      </c>
      <c r="P96" s="189" t="str">
        <f t="shared" si="67"/>
        <v>120,833333333333</v>
      </c>
      <c r="Q96" s="160" t="str">
        <f t="shared" si="68"/>
        <v>1+0,337584423798101i</v>
      </c>
      <c r="R96" s="160">
        <f t="shared" si="77"/>
        <v>1.0554445713494838</v>
      </c>
      <c r="S96" s="160">
        <f t="shared" si="78"/>
        <v>0.32557164405486927</v>
      </c>
      <c r="T96" s="160" t="str">
        <f t="shared" si="69"/>
        <v>1+0,0000227159612275357i</v>
      </c>
      <c r="U96" s="160">
        <f t="shared" si="79"/>
        <v>1.0000000002580074</v>
      </c>
      <c r="V96" s="160">
        <f t="shared" si="80"/>
        <v>2.2715961223628442E-5</v>
      </c>
      <c r="W96" s="98" t="str">
        <f t="shared" si="70"/>
        <v>1-0,000194448628107706i</v>
      </c>
      <c r="X96" s="160">
        <f t="shared" si="81"/>
        <v>1.0000000189051343</v>
      </c>
      <c r="Y96" s="160">
        <f t="shared" si="82"/>
        <v>-1.9444862565698773E-4</v>
      </c>
      <c r="Z96" s="98" t="str">
        <f t="shared" si="71"/>
        <v>0,999999996999355+0,0000753171465520396i</v>
      </c>
      <c r="AA96" s="160">
        <f t="shared" si="83"/>
        <v>0.99999999983569132</v>
      </c>
      <c r="AB96" s="160">
        <f t="shared" si="84"/>
        <v>7.5317146635623116E-5</v>
      </c>
      <c r="AC96" s="171" t="str">
        <f t="shared" si="85"/>
        <v>108,462514539317-36,6451073268926i</v>
      </c>
      <c r="AD96" s="190">
        <f t="shared" si="86"/>
        <v>41.175026682551533</v>
      </c>
      <c r="AE96" s="169">
        <f t="shared" si="87"/>
        <v>-18.668036044983257</v>
      </c>
      <c r="AF96" s="98" t="str">
        <f t="shared" si="72"/>
        <v>-0,0000375877424711299</v>
      </c>
      <c r="AG96" s="98" t="str">
        <f t="shared" si="73"/>
        <v>3,83521145391562E-07i</v>
      </c>
      <c r="AH96" s="98">
        <f t="shared" si="88"/>
        <v>3.83521145391562E-7</v>
      </c>
      <c r="AI96" s="98">
        <f t="shared" si="89"/>
        <v>1.5707963267948966</v>
      </c>
      <c r="AJ96" s="98" t="str">
        <f t="shared" si="74"/>
        <v>1+0,000349821318015357i</v>
      </c>
      <c r="AK96" s="98">
        <f t="shared" si="90"/>
        <v>1.0000000611874755</v>
      </c>
      <c r="AL96" s="98">
        <f t="shared" si="91"/>
        <v>3.4982130374556873E-4</v>
      </c>
      <c r="AM96" s="98" t="str">
        <f t="shared" si="75"/>
        <v>1+0,0272591534730428i</v>
      </c>
      <c r="AN96" s="98">
        <f t="shared" si="92"/>
        <v>1.0003714617321242</v>
      </c>
      <c r="AO96" s="98">
        <f t="shared" si="93"/>
        <v>2.7252404739603983E-2</v>
      </c>
      <c r="AP96" s="168" t="str">
        <f t="shared" si="94"/>
        <v>-2,63730158164582+98,007884971628i</v>
      </c>
      <c r="AQ96" s="98">
        <f t="shared" si="95"/>
        <v>39.828363923983666</v>
      </c>
      <c r="AR96" s="169">
        <f t="shared" si="96"/>
        <v>91.541404488873241</v>
      </c>
      <c r="AS96" s="168" t="str">
        <f t="shared" si="97"/>
        <v>3305,46110252323+10726,8258482157i</v>
      </c>
      <c r="AT96" s="190">
        <f t="shared" si="98"/>
        <v>81.003390606535191</v>
      </c>
      <c r="AU96" s="169">
        <f t="shared" si="99"/>
        <v>72.873368443889973</v>
      </c>
      <c r="AV96" s="225"/>
      <c r="AX96">
        <f t="shared" si="100"/>
        <v>0</v>
      </c>
      <c r="AY96">
        <f t="shared" si="101"/>
        <v>0</v>
      </c>
    </row>
    <row r="97" spans="14:51" x14ac:dyDescent="0.25">
      <c r="N97" s="170">
        <v>79</v>
      </c>
      <c r="O97" s="199">
        <f t="shared" si="76"/>
        <v>61.659500186148257</v>
      </c>
      <c r="P97" s="189" t="str">
        <f t="shared" si="67"/>
        <v>120,833333333333</v>
      </c>
      <c r="Q97" s="160" t="str">
        <f t="shared" si="68"/>
        <v>1+0,345447775175734i</v>
      </c>
      <c r="R97" s="160">
        <f t="shared" si="77"/>
        <v>1.0579859003662877</v>
      </c>
      <c r="S97" s="160">
        <f t="shared" si="78"/>
        <v>0.33261364309895758</v>
      </c>
      <c r="T97" s="160" t="str">
        <f t="shared" si="69"/>
        <v>1+0,0000232450839370586i</v>
      </c>
      <c r="U97" s="160">
        <f t="shared" si="79"/>
        <v>1.000000000270167</v>
      </c>
      <c r="V97" s="160">
        <f t="shared" si="80"/>
        <v>2.3245083932871899E-5</v>
      </c>
      <c r="W97" s="98" t="str">
        <f t="shared" si="70"/>
        <v>1-0,000198977918501222i</v>
      </c>
      <c r="X97" s="160">
        <f t="shared" si="81"/>
        <v>1.0000000197961059</v>
      </c>
      <c r="Y97" s="160">
        <f t="shared" si="82"/>
        <v>-1.9897791587523007E-4</v>
      </c>
      <c r="Z97" s="98" t="str">
        <f t="shared" si="71"/>
        <v>0,999999996857939+0,0000770715082652847i</v>
      </c>
      <c r="AA97" s="160">
        <f t="shared" si="83"/>
        <v>0.99999999982794774</v>
      </c>
      <c r="AB97" s="160">
        <f t="shared" si="84"/>
        <v>7.7071508354846033E-5</v>
      </c>
      <c r="AC97" s="171" t="str">
        <f t="shared" si="85"/>
        <v>107,941652453625-37,3187508803092i</v>
      </c>
      <c r="AD97" s="190">
        <f t="shared" si="86"/>
        <v>41.154137700445972</v>
      </c>
      <c r="AE97" s="169">
        <f t="shared" si="87"/>
        <v>-19.071842579782569</v>
      </c>
      <c r="AF97" s="98" t="str">
        <f t="shared" si="72"/>
        <v>-0,0000375877424711299</v>
      </c>
      <c r="AG97" s="98" t="str">
        <f t="shared" si="73"/>
        <v>3,92454500470673E-07i</v>
      </c>
      <c r="AH97" s="98">
        <f t="shared" si="88"/>
        <v>3.9245450047067298E-7</v>
      </c>
      <c r="AI97" s="98">
        <f t="shared" si="89"/>
        <v>1.5707963267948966</v>
      </c>
      <c r="AJ97" s="98" t="str">
        <f t="shared" si="74"/>
        <v>1+0,000357969703275532i</v>
      </c>
      <c r="AK97" s="98">
        <f t="shared" si="90"/>
        <v>1.0000000640711522</v>
      </c>
      <c r="AL97" s="98">
        <f t="shared" si="91"/>
        <v>3.5796968798517851E-4</v>
      </c>
      <c r="AM97" s="98" t="str">
        <f t="shared" si="75"/>
        <v>1+0,0278941007244703i</v>
      </c>
      <c r="AN97" s="98">
        <f t="shared" si="92"/>
        <v>1.0003889647808131</v>
      </c>
      <c r="AO97" s="98">
        <f t="shared" si="93"/>
        <v>2.7886869478150989E-2</v>
      </c>
      <c r="AP97" s="168" t="str">
        <f t="shared" si="94"/>
        <v>-2,63730156643557+95,7769956317574i</v>
      </c>
      <c r="AQ97" s="98">
        <f t="shared" si="95"/>
        <v>39.628515870703936</v>
      </c>
      <c r="AR97" s="169">
        <f t="shared" si="96"/>
        <v>91.577289772615075</v>
      </c>
      <c r="AS97" s="168" t="str">
        <f t="shared" si="97"/>
        <v>3289,60315094643+10436,7479756896i</v>
      </c>
      <c r="AT97" s="190">
        <f t="shared" si="98"/>
        <v>80.782653571149936</v>
      </c>
      <c r="AU97" s="169">
        <f t="shared" si="99"/>
        <v>72.505447192832534</v>
      </c>
      <c r="AV97" s="225"/>
      <c r="AX97">
        <f t="shared" si="100"/>
        <v>0</v>
      </c>
      <c r="AY97">
        <f t="shared" si="101"/>
        <v>0</v>
      </c>
    </row>
    <row r="98" spans="14:51" x14ac:dyDescent="0.25">
      <c r="N98" s="170">
        <v>80</v>
      </c>
      <c r="O98" s="199">
        <f t="shared" si="76"/>
        <v>63.095734448019364</v>
      </c>
      <c r="P98" s="189" t="str">
        <f t="shared" si="67"/>
        <v>120,833333333333</v>
      </c>
      <c r="Q98" s="160" t="str">
        <f t="shared" si="68"/>
        <v>1+0,353494287536305i</v>
      </c>
      <c r="R98" s="160">
        <f t="shared" si="77"/>
        <v>1.0606404722245892</v>
      </c>
      <c r="S98" s="160">
        <f t="shared" si="78"/>
        <v>0.33978437242769294</v>
      </c>
      <c r="T98" s="160" t="str">
        <f t="shared" si="69"/>
        <v>1+0,00002378653149777i</v>
      </c>
      <c r="U98" s="160">
        <f t="shared" si="79"/>
        <v>1.0000000002828995</v>
      </c>
      <c r="V98" s="160">
        <f t="shared" si="80"/>
        <v>2.3786531493283865E-5</v>
      </c>
      <c r="W98" s="98" t="str">
        <f t="shared" si="70"/>
        <v>1-0,000203612709620911i</v>
      </c>
      <c r="X98" s="160">
        <f t="shared" si="81"/>
        <v>1.0000000207290676</v>
      </c>
      <c r="Y98" s="160">
        <f t="shared" si="82"/>
        <v>-2.0361270680710998E-4</v>
      </c>
      <c r="Z98" s="98" t="str">
        <f t="shared" si="71"/>
        <v>0,999999996709858+0,000078866734312374i</v>
      </c>
      <c r="AA98" s="160">
        <f t="shared" si="83"/>
        <v>0.99999999981983889</v>
      </c>
      <c r="AB98" s="160">
        <f t="shared" si="84"/>
        <v>7.8866734408340728E-5</v>
      </c>
      <c r="AC98" s="171" t="str">
        <f t="shared" si="85"/>
        <v>107,401573546088-37,9971014478577i</v>
      </c>
      <c r="AD98" s="190">
        <f t="shared" si="86"/>
        <v>41.132371407166644</v>
      </c>
      <c r="AE98" s="169">
        <f t="shared" si="87"/>
        <v>-19.483032496525201</v>
      </c>
      <c r="AF98" s="98" t="str">
        <f t="shared" si="72"/>
        <v>-0,0000375877424711299</v>
      </c>
      <c r="AG98" s="98" t="str">
        <f t="shared" si="73"/>
        <v>4,01595940120684E-07i</v>
      </c>
      <c r="AH98" s="98">
        <f t="shared" si="88"/>
        <v>4.0159594012068402E-7</v>
      </c>
      <c r="AI98" s="98">
        <f t="shared" si="89"/>
        <v>1.5707963267948966</v>
      </c>
      <c r="AJ98" s="98" t="str">
        <f t="shared" si="74"/>
        <v>1+0,000366307888810672i</v>
      </c>
      <c r="AK98" s="98">
        <f t="shared" si="90"/>
        <v>1.0000000670907325</v>
      </c>
      <c r="AL98" s="98">
        <f t="shared" si="91"/>
        <v>3.6630787242676306E-4</v>
      </c>
      <c r="AM98" s="98" t="str">
        <f t="shared" si="75"/>
        <v>1+0,028543837797324i</v>
      </c>
      <c r="AN98" s="98">
        <f t="shared" si="92"/>
        <v>1.0004072923945526</v>
      </c>
      <c r="AO98" s="98">
        <f t="shared" si="93"/>
        <v>2.8536089547657545E-2</v>
      </c>
      <c r="AP98" s="168" t="str">
        <f t="shared" si="94"/>
        <v>-2,63730155050849+93,5968885227285i</v>
      </c>
      <c r="AQ98" s="98">
        <f t="shared" si="95"/>
        <v>39.428674972752951</v>
      </c>
      <c r="AR98" s="169">
        <f t="shared" si="96"/>
        <v>91.614009599795679</v>
      </c>
      <c r="AS98" s="168" t="str">
        <f t="shared" si="97"/>
        <v>3273,16013196179+10152,6629209221i</v>
      </c>
      <c r="AT98" s="190">
        <f t="shared" si="98"/>
        <v>80.561046379919617</v>
      </c>
      <c r="AU98" s="169">
        <f t="shared" si="99"/>
        <v>72.130977103270524</v>
      </c>
      <c r="AV98" s="225"/>
      <c r="AX98">
        <f t="shared" si="100"/>
        <v>0</v>
      </c>
      <c r="AY98">
        <f t="shared" si="101"/>
        <v>0</v>
      </c>
    </row>
    <row r="99" spans="14:51" x14ac:dyDescent="0.25">
      <c r="N99" s="170">
        <v>81</v>
      </c>
      <c r="O99" s="199">
        <f t="shared" si="76"/>
        <v>64.565422903465588</v>
      </c>
      <c r="P99" s="189" t="str">
        <f t="shared" si="67"/>
        <v>120,833333333333</v>
      </c>
      <c r="Q99" s="160" t="str">
        <f t="shared" si="68"/>
        <v>1+0,361728227247179i</v>
      </c>
      <c r="R99" s="160">
        <f t="shared" si="77"/>
        <v>1.0634130478733965</v>
      </c>
      <c r="S99" s="160">
        <f t="shared" si="78"/>
        <v>0.34708468340646831</v>
      </c>
      <c r="T99" s="160" t="str">
        <f t="shared" si="69"/>
        <v>1+0,0000243405909923334i</v>
      </c>
      <c r="U99" s="160">
        <f t="shared" si="79"/>
        <v>1.0000000002962321</v>
      </c>
      <c r="V99" s="160">
        <f t="shared" si="80"/>
        <v>2.4340590987526424E-5</v>
      </c>
      <c r="W99" s="98" t="str">
        <f t="shared" si="70"/>
        <v>1-0,000208355458894374i</v>
      </c>
      <c r="X99" s="160">
        <f t="shared" si="81"/>
        <v>1.0000000217059983</v>
      </c>
      <c r="Y99" s="160">
        <f t="shared" si="82"/>
        <v>-2.0835545587933186E-4</v>
      </c>
      <c r="Z99" s="98" t="str">
        <f t="shared" si="71"/>
        <v>0,999999996554798+0,0000807037765459203i</v>
      </c>
      <c r="AA99" s="160">
        <f t="shared" si="83"/>
        <v>0.99999999981134768</v>
      </c>
      <c r="AB99" s="160">
        <f t="shared" si="84"/>
        <v>8.0703776648750536E-5</v>
      </c>
      <c r="AC99" s="171" t="str">
        <f t="shared" si="85"/>
        <v>106,8417991798-38,6796814493971i</v>
      </c>
      <c r="AD99" s="190">
        <f t="shared" si="86"/>
        <v>41.109695622083677</v>
      </c>
      <c r="AE99" s="169">
        <f t="shared" si="87"/>
        <v>-19.901654753743649</v>
      </c>
      <c r="AF99" s="98" t="str">
        <f t="shared" si="72"/>
        <v>-0,0000375877424711299</v>
      </c>
      <c r="AG99" s="98" t="str">
        <f t="shared" si="73"/>
        <v>4,10950311253897E-07i</v>
      </c>
      <c r="AH99" s="98">
        <f t="shared" si="88"/>
        <v>4.1095031125389699E-7</v>
      </c>
      <c r="AI99" s="98">
        <f t="shared" si="89"/>
        <v>1.5707963267948966</v>
      </c>
      <c r="AJ99" s="98" t="str">
        <f t="shared" si="74"/>
        <v>1+0,000374840295637118i</v>
      </c>
      <c r="AK99" s="98">
        <f t="shared" si="90"/>
        <v>1.0000000702526211</v>
      </c>
      <c r="AL99" s="98">
        <f t="shared" si="91"/>
        <v>3.7484027808144338E-4</v>
      </c>
      <c r="AM99" s="98" t="str">
        <f t="shared" si="75"/>
        <v>1+0,0292087091908001i</v>
      </c>
      <c r="AN99" s="98">
        <f t="shared" si="92"/>
        <v>1.00042648340225</v>
      </c>
      <c r="AO99" s="98">
        <f t="shared" si="93"/>
        <v>2.9200406982843815E-2</v>
      </c>
      <c r="AP99" s="168" t="str">
        <f t="shared" si="94"/>
        <v>-2,63730153383078+91,4664077228954i</v>
      </c>
      <c r="AQ99" s="98">
        <f t="shared" si="95"/>
        <v>39.228841566801577</v>
      </c>
      <c r="AR99" s="169">
        <f t="shared" si="96"/>
        <v>91.651583314255703</v>
      </c>
      <c r="AS99" s="168" t="str">
        <f t="shared" si="97"/>
        <v>3256,11747318814+9874,44554884188i</v>
      </c>
      <c r="AT99" s="190">
        <f t="shared" si="98"/>
        <v>80.338537188885255</v>
      </c>
      <c r="AU99" s="169">
        <f t="shared" si="99"/>
        <v>71.749928560512075</v>
      </c>
      <c r="AV99" s="225"/>
      <c r="AX99">
        <f t="shared" si="100"/>
        <v>0</v>
      </c>
      <c r="AY99">
        <f t="shared" si="101"/>
        <v>0</v>
      </c>
    </row>
    <row r="100" spans="14:51" x14ac:dyDescent="0.25">
      <c r="N100" s="170">
        <v>82</v>
      </c>
      <c r="O100" s="199">
        <f t="shared" si="76"/>
        <v>66.069344800759623</v>
      </c>
      <c r="P100" s="189" t="str">
        <f t="shared" si="67"/>
        <v>120,833333333333</v>
      </c>
      <c r="Q100" s="160" t="str">
        <f t="shared" si="68"/>
        <v>1+0,370153960052179i</v>
      </c>
      <c r="R100" s="160">
        <f t="shared" si="77"/>
        <v>1.0663085642262797</v>
      </c>
      <c r="S100" s="160">
        <f t="shared" si="78"/>
        <v>0.35451533326482376</v>
      </c>
      <c r="T100" s="160" t="str">
        <f t="shared" si="69"/>
        <v>1+0,0000249075561904269i</v>
      </c>
      <c r="U100" s="160">
        <f t="shared" si="79"/>
        <v>1.0000000003101932</v>
      </c>
      <c r="V100" s="160">
        <f t="shared" si="80"/>
        <v>2.4907556185276129E-5</v>
      </c>
      <c r="W100" s="98" t="str">
        <f t="shared" si="70"/>
        <v>1-0,000213208680990054i</v>
      </c>
      <c r="X100" s="160">
        <f t="shared" si="81"/>
        <v>1.0000000227289705</v>
      </c>
      <c r="Y100" s="160">
        <f t="shared" si="82"/>
        <v>-2.1320867775937816E-4</v>
      </c>
      <c r="Z100" s="98" t="str">
        <f t="shared" si="71"/>
        <v>0,999999996392431+0,0000825836089900322i</v>
      </c>
      <c r="AA100" s="160">
        <f t="shared" si="83"/>
        <v>0.99999999980245724</v>
      </c>
      <c r="AB100" s="160">
        <f t="shared" si="84"/>
        <v>8.2583609100216748E-5</v>
      </c>
      <c r="AC100" s="171" t="str">
        <f t="shared" si="85"/>
        <v>106,261858461167-39,3659796172218i</v>
      </c>
      <c r="AD100" s="190">
        <f t="shared" si="86"/>
        <v>41.086077379054508</v>
      </c>
      <c r="AE100" s="169">
        <f t="shared" si="87"/>
        <v>-20.327752920550388</v>
      </c>
      <c r="AF100" s="98" t="str">
        <f t="shared" si="72"/>
        <v>-0,0000375877424711299</v>
      </c>
      <c r="AG100" s="98" t="str">
        <f t="shared" si="73"/>
        <v>4,20522573681707E-07i</v>
      </c>
      <c r="AH100" s="98">
        <f t="shared" si="88"/>
        <v>4.2052257368170702E-7</v>
      </c>
      <c r="AI100" s="98">
        <f t="shared" si="89"/>
        <v>1.5707963267948966</v>
      </c>
      <c r="AJ100" s="98" t="str">
        <f t="shared" si="74"/>
        <v>1+0,00038357144774991i</v>
      </c>
      <c r="AK100" s="98">
        <f t="shared" si="90"/>
        <v>1.000000073563525</v>
      </c>
      <c r="AL100" s="98">
        <f t="shared" si="91"/>
        <v>3.8357142893866576E-4</v>
      </c>
      <c r="AM100" s="98" t="str">
        <f t="shared" si="75"/>
        <v>1+0,0298890674285123i</v>
      </c>
      <c r="AN100" s="98">
        <f t="shared" si="92"/>
        <v>1.0004465784597127</v>
      </c>
      <c r="AO100" s="98">
        <f t="shared" si="93"/>
        <v>2.9880171666865119E-2</v>
      </c>
      <c r="AP100" s="168" t="str">
        <f t="shared" si="94"/>
        <v>-2,63730151636709+89,3844236231371i</v>
      </c>
      <c r="AQ100" s="98">
        <f t="shared" si="95"/>
        <v>39.029016005334455</v>
      </c>
      <c r="AR100" s="169">
        <f t="shared" si="96"/>
        <v>91.690030703617765</v>
      </c>
      <c r="AS100" s="168" t="str">
        <f t="shared" si="97"/>
        <v>3238,46083799391+9601,97492941256i</v>
      </c>
      <c r="AT100" s="190">
        <f t="shared" si="98"/>
        <v>80.115093384388956</v>
      </c>
      <c r="AU100" s="169">
        <f t="shared" si="99"/>
        <v>71.362277783067398</v>
      </c>
      <c r="AV100" s="225"/>
      <c r="AX100">
        <f t="shared" si="100"/>
        <v>0</v>
      </c>
      <c r="AY100">
        <f t="shared" si="101"/>
        <v>0</v>
      </c>
    </row>
    <row r="101" spans="14:51" x14ac:dyDescent="0.25">
      <c r="N101" s="170">
        <v>83</v>
      </c>
      <c r="O101" s="199">
        <f t="shared" si="76"/>
        <v>67.60829753919819</v>
      </c>
      <c r="P101" s="189" t="str">
        <f t="shared" si="67"/>
        <v>120,833333333333</v>
      </c>
      <c r="Q101" s="160" t="str">
        <f t="shared" si="68"/>
        <v>1+0,378775953386365i</v>
      </c>
      <c r="R101" s="160">
        <f t="shared" si="77"/>
        <v>1.0693321387032888</v>
      </c>
      <c r="S101" s="160">
        <f t="shared" si="78"/>
        <v>0.36207697861237842</v>
      </c>
      <c r="T101" s="160" t="str">
        <f t="shared" si="69"/>
        <v>1+0,0000254877277045029i</v>
      </c>
      <c r="U101" s="160">
        <f t="shared" si="79"/>
        <v>1.0000000003248122</v>
      </c>
      <c r="V101" s="160">
        <f t="shared" si="80"/>
        <v>2.5487727698983752E-5</v>
      </c>
      <c r="W101" s="98" t="str">
        <f t="shared" si="70"/>
        <v>1-0,000218174949150545i</v>
      </c>
      <c r="X101" s="160">
        <f t="shared" si="81"/>
        <v>1.0000000238001538</v>
      </c>
      <c r="Y101" s="160">
        <f t="shared" si="82"/>
        <v>-2.1817494568881349E-4</v>
      </c>
      <c r="Z101" s="98" t="str">
        <f t="shared" si="71"/>
        <v>0,999999996222412+0,0000845072283567539i</v>
      </c>
      <c r="AA101" s="160">
        <f t="shared" si="83"/>
        <v>0.99999999979314769</v>
      </c>
      <c r="AB101" s="160">
        <f t="shared" si="84"/>
        <v>8.4507228474818731E-5</v>
      </c>
      <c r="AC101" s="171" t="str">
        <f t="shared" si="85"/>
        <v>105,661290261501-40,0554502841673i</v>
      </c>
      <c r="AD101" s="190">
        <f t="shared" si="86"/>
        <v>41.061482940885696</v>
      </c>
      <c r="AE101" s="169">
        <f t="shared" si="87"/>
        <v>-20.76136480522473</v>
      </c>
      <c r="AF101" s="98" t="str">
        <f t="shared" si="72"/>
        <v>-0,0000375877424711299</v>
      </c>
      <c r="AG101" s="98" t="str">
        <f t="shared" si="73"/>
        <v>4,30317802744358E-07i</v>
      </c>
      <c r="AH101" s="98">
        <f t="shared" si="88"/>
        <v>4.3031780274435802E-7</v>
      </c>
      <c r="AI101" s="98">
        <f t="shared" si="89"/>
        <v>1.5707963267948966</v>
      </c>
      <c r="AJ101" s="98" t="str">
        <f t="shared" si="74"/>
        <v>1+0,000392505974521466i</v>
      </c>
      <c r="AK101" s="98">
        <f t="shared" si="90"/>
        <v>1.0000000770304671</v>
      </c>
      <c r="AL101" s="98">
        <f t="shared" si="91"/>
        <v>3.9250595436485469E-4</v>
      </c>
      <c r="AM101" s="98" t="str">
        <f t="shared" si="75"/>
        <v>1+0,0305852732454035i</v>
      </c>
      <c r="AN101" s="98">
        <f t="shared" si="92"/>
        <v>1.0004676201354525</v>
      </c>
      <c r="AO101" s="98">
        <f t="shared" si="93"/>
        <v>3.057574150567105E-2</v>
      </c>
      <c r="AP101" s="168" t="str">
        <f t="shared" si="94"/>
        <v>-2,63730149808034+87,3498323279261i</v>
      </c>
      <c r="AQ101" s="98">
        <f t="shared" si="95"/>
        <v>38.829198657390386</v>
      </c>
      <c r="AR101" s="169">
        <f t="shared" si="96"/>
        <v>91.729372009139055</v>
      </c>
      <c r="AS101" s="168" t="str">
        <f t="shared" si="97"/>
        <v>3220,17618704584+9335,13428693516i</v>
      </c>
      <c r="AT101" s="190">
        <f t="shared" si="98"/>
        <v>79.890681598276089</v>
      </c>
      <c r="AU101" s="169">
        <f t="shared" si="99"/>
        <v>70.968007203914311</v>
      </c>
      <c r="AV101" s="225"/>
      <c r="AX101">
        <f t="shared" si="100"/>
        <v>0</v>
      </c>
      <c r="AY101">
        <f t="shared" si="101"/>
        <v>0</v>
      </c>
    </row>
    <row r="102" spans="14:51" x14ac:dyDescent="0.25">
      <c r="N102" s="170">
        <v>84</v>
      </c>
      <c r="O102" s="199">
        <f t="shared" si="76"/>
        <v>69.183097091893657</v>
      </c>
      <c r="P102" s="189" t="str">
        <f t="shared" si="67"/>
        <v>120,833333333333</v>
      </c>
      <c r="Q102" s="160" t="str">
        <f t="shared" si="68"/>
        <v>1+0,387598778744728i</v>
      </c>
      <c r="R102" s="160">
        <f t="shared" si="77"/>
        <v>1.0724890737366066</v>
      </c>
      <c r="S102" s="160">
        <f t="shared" si="78"/>
        <v>0.36977016882879715</v>
      </c>
      <c r="T102" s="160" t="str">
        <f t="shared" si="69"/>
        <v>1+0,0000260814131491778i</v>
      </c>
      <c r="U102" s="160">
        <f t="shared" si="79"/>
        <v>1.0000000003401199</v>
      </c>
      <c r="V102" s="160">
        <f t="shared" si="80"/>
        <v>2.6081413143263923E-5</v>
      </c>
      <c r="W102" s="98" t="str">
        <f t="shared" si="70"/>
        <v>1-0,000223256896556963i</v>
      </c>
      <c r="X102" s="160">
        <f t="shared" si="81"/>
        <v>1.0000000249218206</v>
      </c>
      <c r="Y102" s="160">
        <f t="shared" si="82"/>
        <v>-2.2325689284765084E-4</v>
      </c>
      <c r="Z102" s="98" t="str">
        <f t="shared" si="71"/>
        <v>0,999999996044379+0,0000864756545745356i</v>
      </c>
      <c r="AA102" s="160">
        <f t="shared" si="83"/>
        <v>0.99999999978339826</v>
      </c>
      <c r="AB102" s="160">
        <f t="shared" si="84"/>
        <v>8.647565470104441E-5</v>
      </c>
      <c r="AC102" s="171" t="str">
        <f t="shared" si="85"/>
        <v>105,039645362588-40,7475127748061i</v>
      </c>
      <c r="AD102" s="190">
        <f t="shared" si="86"/>
        <v>41.03587781724088</v>
      </c>
      <c r="AE102" s="169">
        <f t="shared" si="87"/>
        <v>-21.20252207658552</v>
      </c>
      <c r="AF102" s="98" t="str">
        <f t="shared" si="72"/>
        <v>-0,0000375877424711299</v>
      </c>
      <c r="AG102" s="98" t="str">
        <f t="shared" si="73"/>
        <v>4,40341192001954E-07i</v>
      </c>
      <c r="AH102" s="98">
        <f t="shared" si="88"/>
        <v>4.4034119200195402E-7</v>
      </c>
      <c r="AI102" s="98">
        <f t="shared" si="89"/>
        <v>1.5707963267948966</v>
      </c>
      <c r="AJ102" s="98" t="str">
        <f t="shared" si="74"/>
        <v>1+0,000401648613156144i</v>
      </c>
      <c r="AK102" s="98">
        <f t="shared" si="90"/>
        <v>1.0000000806608009</v>
      </c>
      <c r="AL102" s="98">
        <f t="shared" si="91"/>
        <v>4.0164859155794602E-4</v>
      </c>
      <c r="AM102" s="98" t="str">
        <f t="shared" si="75"/>
        <v>1+0,0312976957790135i</v>
      </c>
      <c r="AN102" s="98">
        <f t="shared" si="92"/>
        <v>1.0004896530005074</v>
      </c>
      <c r="AO102" s="98">
        <f t="shared" si="93"/>
        <v>3.1287482605826908E-2</v>
      </c>
      <c r="AP102" s="168" t="str">
        <f t="shared" si="94"/>
        <v>-2,63730147893177+85,3615550700261i</v>
      </c>
      <c r="AQ102" s="98">
        <f t="shared" si="95"/>
        <v>38.629389909336716</v>
      </c>
      <c r="AR102" s="169">
        <f t="shared" si="96"/>
        <v>91.769627935759203</v>
      </c>
      <c r="AS102" s="168" t="str">
        <f t="shared" si="97"/>
        <v>3201,24984363198+9073,81094785836i</v>
      </c>
      <c r="AT102" s="190">
        <f t="shared" si="98"/>
        <v>79.665267726577596</v>
      </c>
      <c r="AU102" s="169">
        <f t="shared" si="99"/>
        <v>70.567105859173694</v>
      </c>
      <c r="AV102" s="225"/>
      <c r="AX102">
        <f t="shared" si="100"/>
        <v>0</v>
      </c>
      <c r="AY102">
        <f t="shared" si="101"/>
        <v>0</v>
      </c>
    </row>
    <row r="103" spans="14:51" x14ac:dyDescent="0.25">
      <c r="N103" s="170">
        <v>85</v>
      </c>
      <c r="O103" s="199">
        <f t="shared" si="76"/>
        <v>70.794578438413865</v>
      </c>
      <c r="P103" s="189" t="str">
        <f t="shared" si="67"/>
        <v>120,833333333333</v>
      </c>
      <c r="Q103" s="160" t="str">
        <f t="shared" si="68"/>
        <v>1+0,39662711410606i</v>
      </c>
      <c r="R103" s="160">
        <f t="shared" si="77"/>
        <v>1.0757848612264915</v>
      </c>
      <c r="S103" s="160">
        <f t="shared" si="78"/>
        <v>0.37759533934875994</v>
      </c>
      <c r="T103" s="160" t="str">
        <f t="shared" si="69"/>
        <v>1+0,0000266889273043328i</v>
      </c>
      <c r="U103" s="160">
        <f t="shared" si="79"/>
        <v>1.0000000003561493</v>
      </c>
      <c r="V103" s="160">
        <f t="shared" si="80"/>
        <v>2.6688927297995971E-5</v>
      </c>
      <c r="W103" s="98" t="str">
        <f t="shared" si="70"/>
        <v>1-0,000228457217725089i</v>
      </c>
      <c r="X103" s="160">
        <f t="shared" si="81"/>
        <v>1.0000000260963497</v>
      </c>
      <c r="Y103" s="160">
        <f t="shared" si="82"/>
        <v>-2.2845721375048942E-4</v>
      </c>
      <c r="Z103" s="98" t="str">
        <f t="shared" si="71"/>
        <v>0,999999995857957+0,0000884899313290136i</v>
      </c>
      <c r="AA103" s="160">
        <f t="shared" si="83"/>
        <v>0.99999999977319087</v>
      </c>
      <c r="AB103" s="160">
        <f t="shared" si="84"/>
        <v>8.8489931464570175E-5</v>
      </c>
      <c r="AC103" s="171" t="str">
        <f t="shared" si="85"/>
        <v>104,396488723956-41,4415509138301i</v>
      </c>
      <c r="AD103" s="190">
        <f t="shared" si="86"/>
        <v>41.009226786198745</v>
      </c>
      <c r="AE103" s="169">
        <f t="shared" si="87"/>
        <v>-21.651249879349706</v>
      </c>
      <c r="AF103" s="98" t="str">
        <f t="shared" si="72"/>
        <v>-0,0000375877424711299</v>
      </c>
      <c r="AG103" s="98" t="str">
        <f t="shared" si="73"/>
        <v>4,50598055988154E-07i</v>
      </c>
      <c r="AH103" s="98">
        <f t="shared" si="88"/>
        <v>4.5059805598815399E-7</v>
      </c>
      <c r="AI103" s="98">
        <f t="shared" si="89"/>
        <v>1.5707963267948966</v>
      </c>
      <c r="AJ103" s="98" t="str">
        <f t="shared" si="74"/>
        <v>1+0,000411004211201967i</v>
      </c>
      <c r="AK103" s="98">
        <f t="shared" si="90"/>
        <v>1.0000000844622272</v>
      </c>
      <c r="AL103" s="98">
        <f t="shared" si="91"/>
        <v>4.1100418805908097E-4</v>
      </c>
      <c r="AM103" s="98" t="str">
        <f t="shared" si="75"/>
        <v>1+0,0320267127651995i</v>
      </c>
      <c r="AN103" s="98">
        <f t="shared" si="92"/>
        <v>1.0005127237224645</v>
      </c>
      <c r="AO103" s="98">
        <f t="shared" si="93"/>
        <v>3.2015769455830831E-2</v>
      </c>
      <c r="AP103" s="168" t="str">
        <f t="shared" si="94"/>
        <v>-2,63730145888076+83,4185376385172i</v>
      </c>
      <c r="AQ103" s="98">
        <f t="shared" si="95"/>
        <v>38.429590165680025</v>
      </c>
      <c r="AR103" s="169">
        <f t="shared" si="96"/>
        <v>91.810819662344969</v>
      </c>
      <c r="AS103" s="168" t="str">
        <f t="shared" si="97"/>
        <v>3181,66856269014+8817,89628663169i</v>
      </c>
      <c r="AT103" s="190">
        <f t="shared" si="98"/>
        <v>79.438816951878778</v>
      </c>
      <c r="AU103" s="169">
        <f t="shared" si="99"/>
        <v>70.15956978299532</v>
      </c>
      <c r="AV103" s="225"/>
      <c r="AX103">
        <f t="shared" si="100"/>
        <v>0</v>
      </c>
      <c r="AY103">
        <f t="shared" si="101"/>
        <v>0</v>
      </c>
    </row>
    <row r="104" spans="14:51" x14ac:dyDescent="0.25">
      <c r="N104" s="170">
        <v>86</v>
      </c>
      <c r="O104" s="199">
        <f t="shared" si="76"/>
        <v>72.443596007499011</v>
      </c>
      <c r="P104" s="189" t="str">
        <f t="shared" si="67"/>
        <v>120,833333333333</v>
      </c>
      <c r="Q104" s="160" t="str">
        <f t="shared" si="68"/>
        <v>1+0,405865746413269i</v>
      </c>
      <c r="R104" s="160">
        <f t="shared" si="77"/>
        <v>1.0792251869334777</v>
      </c>
      <c r="S104" s="160">
        <f t="shared" si="78"/>
        <v>0.38555280486561855</v>
      </c>
      <c r="T104" s="160" t="str">
        <f t="shared" si="69"/>
        <v>1+0,0000273105922820142i</v>
      </c>
      <c r="U104" s="160">
        <f t="shared" si="79"/>
        <v>1.0000000003729341</v>
      </c>
      <c r="V104" s="160">
        <f t="shared" si="80"/>
        <v>2.7310592275224163E-5</v>
      </c>
      <c r="W104" s="98" t="str">
        <f t="shared" si="70"/>
        <v>1-0,000233778669934042i</v>
      </c>
      <c r="X104" s="160">
        <f t="shared" si="81"/>
        <v>1.0000000273262328</v>
      </c>
      <c r="Y104" s="160">
        <f t="shared" si="82"/>
        <v>-2.3377866567518183E-4</v>
      </c>
      <c r="Z104" s="98" t="str">
        <f t="shared" si="71"/>
        <v>0,999999995662748+0,0000905511266163845i</v>
      </c>
      <c r="AA104" s="160">
        <f t="shared" si="83"/>
        <v>0.9999999997625012</v>
      </c>
      <c r="AB104" s="160">
        <f t="shared" si="84"/>
        <v>9.055112676163604E-5</v>
      </c>
      <c r="AC104" s="171" t="str">
        <f t="shared" si="85"/>
        <v>103,731401868202-42,136912666227i</v>
      </c>
      <c r="AD104" s="190">
        <f t="shared" si="86"/>
        <v>40.981493919659627</v>
      </c>
      <c r="AE104" s="169">
        <f t="shared" si="87"/>
        <v>-22.107566444834529</v>
      </c>
      <c r="AF104" s="98" t="str">
        <f t="shared" si="72"/>
        <v>-0,0000375877424711299</v>
      </c>
      <c r="AG104" s="98" t="str">
        <f t="shared" si="73"/>
        <v>4,61093833028008E-07i</v>
      </c>
      <c r="AH104" s="98">
        <f t="shared" si="88"/>
        <v>4.6109383302800798E-7</v>
      </c>
      <c r="AI104" s="98">
        <f t="shared" si="89"/>
        <v>1.5707963267948966</v>
      </c>
      <c r="AJ104" s="98" t="str">
        <f t="shared" si="74"/>
        <v>1+0,00042057772912085i</v>
      </c>
      <c r="AK104" s="98">
        <f t="shared" si="90"/>
        <v>1.0000000884428091</v>
      </c>
      <c r="AL104" s="98">
        <f t="shared" si="91"/>
        <v>4.2057770432280098E-4</v>
      </c>
      <c r="AM104" s="98" t="str">
        <f t="shared" si="75"/>
        <v>1+0,0327727107384171i</v>
      </c>
      <c r="AN104" s="98">
        <f t="shared" si="92"/>
        <v>1.00053688116388</v>
      </c>
      <c r="AO104" s="98">
        <f t="shared" si="93"/>
        <v>3.276098511096652E-2</v>
      </c>
      <c r="AP104" s="168" t="str">
        <f t="shared" si="94"/>
        <v>-2,63730143788477+81,5197498198386i</v>
      </c>
      <c r="AQ104" s="98">
        <f t="shared" si="95"/>
        <v>38.229799849914279</v>
      </c>
      <c r="AR104" s="169">
        <f t="shared" si="96"/>
        <v>91.85296885213431</v>
      </c>
      <c r="AS104" s="168" t="str">
        <f t="shared" si="97"/>
        <v>3161,4196034304+8567,28566911963i</v>
      </c>
      <c r="AT104" s="190">
        <f t="shared" si="98"/>
        <v>79.211293769573913</v>
      </c>
      <c r="AU104" s="169">
        <f t="shared" si="99"/>
        <v>69.745402407299792</v>
      </c>
      <c r="AV104" s="225"/>
      <c r="AX104">
        <f t="shared" si="100"/>
        <v>0</v>
      </c>
      <c r="AY104">
        <f t="shared" si="101"/>
        <v>0</v>
      </c>
    </row>
    <row r="105" spans="14:51" x14ac:dyDescent="0.25">
      <c r="N105" s="170">
        <v>87</v>
      </c>
      <c r="O105" s="199">
        <f t="shared" si="76"/>
        <v>74.131024130091816</v>
      </c>
      <c r="P105" s="189" t="str">
        <f t="shared" si="67"/>
        <v>120,833333333333</v>
      </c>
      <c r="Q105" s="160" t="str">
        <f t="shared" si="68"/>
        <v>1+0,415319574111496i</v>
      </c>
      <c r="R105" s="160">
        <f t="shared" si="77"/>
        <v>1.0828159347923147</v>
      </c>
      <c r="S105" s="160">
        <f t="shared" si="78"/>
        <v>0.39364275248029584</v>
      </c>
      <c r="T105" s="160" t="str">
        <f t="shared" si="69"/>
        <v>1+0,000027946737697222i</v>
      </c>
      <c r="U105" s="160">
        <f t="shared" si="79"/>
        <v>1.0000000003905101</v>
      </c>
      <c r="V105" s="160">
        <f t="shared" si="80"/>
        <v>2.7946737689946346E-5</v>
      </c>
      <c r="W105" s="98" t="str">
        <f t="shared" si="70"/>
        <v>1-0,000239224074688221i</v>
      </c>
      <c r="X105" s="160">
        <f t="shared" si="81"/>
        <v>1.0000000286140787</v>
      </c>
      <c r="Y105" s="160">
        <f t="shared" si="82"/>
        <v>-2.3922407012477013E-4</v>
      </c>
      <c r="Z105" s="98" t="str">
        <f t="shared" si="71"/>
        <v>0,99999999545834+0,0000926603333096737i</v>
      </c>
      <c r="AA105" s="160">
        <f t="shared" si="83"/>
        <v>0.9999999997513086</v>
      </c>
      <c r="AB105" s="160">
        <f t="shared" si="84"/>
        <v>9.2660333465313479E-5</v>
      </c>
      <c r="AC105" s="171" t="str">
        <f t="shared" si="85"/>
        <v>103,043985379228-42,8329099242574i</v>
      </c>
      <c r="AD105" s="190">
        <f t="shared" si="86"/>
        <v>40.952642612790164</v>
      </c>
      <c r="AE105" s="169">
        <f t="shared" si="87"/>
        <v>-22.571482698525017</v>
      </c>
      <c r="AF105" s="98" t="str">
        <f t="shared" si="72"/>
        <v>-0,0000375877424711299</v>
      </c>
      <c r="AG105" s="98" t="str">
        <f t="shared" si="73"/>
        <v>4,71834088121433E-07i</v>
      </c>
      <c r="AH105" s="98">
        <f t="shared" si="88"/>
        <v>4.7183408812143299E-7</v>
      </c>
      <c r="AI105" s="98">
        <f t="shared" si="89"/>
        <v>1.5707963267948966</v>
      </c>
      <c r="AJ105" s="98" t="str">
        <f t="shared" si="74"/>
        <v>1+0,00043037424291872i</v>
      </c>
      <c r="AK105" s="98">
        <f t="shared" si="90"/>
        <v>1.0000000926109902</v>
      </c>
      <c r="AL105" s="98">
        <f t="shared" si="91"/>
        <v>4.3037421634713186E-4</v>
      </c>
      <c r="AM105" s="98" t="str">
        <f t="shared" si="75"/>
        <v>1+0,0335360852366665i</v>
      </c>
      <c r="AN105" s="98">
        <f t="shared" si="92"/>
        <v>1.0005621764853001</v>
      </c>
      <c r="AO105" s="98">
        <f t="shared" si="93"/>
        <v>3.3523521381723397E-2</v>
      </c>
      <c r="AP105" s="168" t="str">
        <f t="shared" si="94"/>
        <v>-2,63730141589927+79,6641848515552i</v>
      </c>
      <c r="AQ105" s="98">
        <f t="shared" si="95"/>
        <v>38.030019405408197</v>
      </c>
      <c r="AR105" s="169">
        <f t="shared" si="96"/>
        <v>91.896097663381383</v>
      </c>
      <c r="AS105" s="168" t="str">
        <f t="shared" si="97"/>
        <v>3140,49080539551+8321,8783930821i</v>
      </c>
      <c r="AT105" s="190">
        <f t="shared" si="98"/>
        <v>78.982662018198354</v>
      </c>
      <c r="AU105" s="169">
        <f t="shared" si="99"/>
        <v>69.32461496485638</v>
      </c>
      <c r="AV105" s="225"/>
      <c r="AX105">
        <f t="shared" si="100"/>
        <v>0</v>
      </c>
      <c r="AY105">
        <f t="shared" si="101"/>
        <v>0</v>
      </c>
    </row>
    <row r="106" spans="14:51" x14ac:dyDescent="0.25">
      <c r="N106" s="170">
        <v>88</v>
      </c>
      <c r="O106" s="199">
        <f t="shared" si="76"/>
        <v>75.857757502918361</v>
      </c>
      <c r="P106" s="189" t="str">
        <f t="shared" si="67"/>
        <v>120,833333333333</v>
      </c>
      <c r="Q106" s="160" t="str">
        <f t="shared" si="68"/>
        <v>1+0,424993609745321i</v>
      </c>
      <c r="R106" s="160">
        <f t="shared" si="77"/>
        <v>1.0865631911326457</v>
      </c>
      <c r="S106" s="160">
        <f t="shared" si="78"/>
        <v>0.40186523482478359</v>
      </c>
      <c r="T106" s="160" t="str">
        <f t="shared" si="69"/>
        <v>1+0,0000285977008426757i</v>
      </c>
      <c r="U106" s="160">
        <f t="shared" si="79"/>
        <v>1.0000000004089142</v>
      </c>
      <c r="V106" s="160">
        <f t="shared" si="80"/>
        <v>2.8597700834879694E-5</v>
      </c>
      <c r="W106" s="98" t="str">
        <f t="shared" si="70"/>
        <v>1-0,000244796319213304i</v>
      </c>
      <c r="X106" s="160">
        <f t="shared" si="81"/>
        <v>1.0000000299626184</v>
      </c>
      <c r="Y106" s="160">
        <f t="shared" si="82"/>
        <v>-2.447963143234783E-4</v>
      </c>
      <c r="Z106" s="98" t="str">
        <f t="shared" si="71"/>
        <v>0,999999995244298+0,000094818669738188i</v>
      </c>
      <c r="AA106" s="160">
        <f t="shared" si="83"/>
        <v>0.99999999973958809</v>
      </c>
      <c r="AB106" s="160">
        <f t="shared" si="84"/>
        <v>9.481866990495906E-5</v>
      </c>
      <c r="AC106" s="171" t="str">
        <f t="shared" si="85"/>
        <v>102,333861506693-43,5288184565294i</v>
      </c>
      <c r="AD106" s="190">
        <f t="shared" si="86"/>
        <v>40.92263561769083</v>
      </c>
      <c r="AE106" s="169">
        <f t="shared" si="87"/>
        <v>-23.043001866188007</v>
      </c>
      <c r="AF106" s="98" t="str">
        <f t="shared" si="72"/>
        <v>-0,0000375877424711299</v>
      </c>
      <c r="AG106" s="98" t="str">
        <f t="shared" si="73"/>
        <v>4,82824515893842E-07i</v>
      </c>
      <c r="AH106" s="98">
        <f t="shared" si="88"/>
        <v>4.8282451589384205E-7</v>
      </c>
      <c r="AI106" s="98">
        <f t="shared" si="89"/>
        <v>1.5707963267948966</v>
      </c>
      <c r="AJ106" s="98" t="str">
        <f t="shared" si="74"/>
        <v>1+0,000440398946836861i</v>
      </c>
      <c r="AK106" s="98">
        <f t="shared" si="90"/>
        <v>1.0000000969756115</v>
      </c>
      <c r="AL106" s="98">
        <f t="shared" si="91"/>
        <v>4.4039891836489151E-4</v>
      </c>
      <c r="AM106" s="98" t="str">
        <f t="shared" si="75"/>
        <v>1+0,0343172410112109i</v>
      </c>
      <c r="AN106" s="98">
        <f t="shared" si="92"/>
        <v>1.000588663253098</v>
      </c>
      <c r="AO106" s="98">
        <f t="shared" si="93"/>
        <v>3.4303779025813601E-2</v>
      </c>
      <c r="AP106" s="168" t="str">
        <f t="shared" si="94"/>
        <v>-2,63730139287763+77,8508588885591i</v>
      </c>
      <c r="AQ106" s="98">
        <f t="shared" si="95"/>
        <v>37.830249296333925</v>
      </c>
      <c r="AR106" s="169">
        <f t="shared" si="96"/>
        <v>91.940228760204079</v>
      </c>
      <c r="AS106" s="168" t="str">
        <f t="shared" si="97"/>
        <v>3118,87066775483+8081,57762522463i</v>
      </c>
      <c r="AT106" s="190">
        <f t="shared" si="98"/>
        <v>78.752884914024747</v>
      </c>
      <c r="AU106" s="169">
        <f t="shared" si="99"/>
        <v>68.897226894016072</v>
      </c>
      <c r="AV106" s="225"/>
      <c r="AX106">
        <f t="shared" si="100"/>
        <v>0</v>
      </c>
      <c r="AY106">
        <f t="shared" si="101"/>
        <v>0</v>
      </c>
    </row>
    <row r="107" spans="14:51" x14ac:dyDescent="0.25">
      <c r="N107" s="170">
        <v>89</v>
      </c>
      <c r="O107" s="199">
        <f t="shared" si="76"/>
        <v>77.624711662869217</v>
      </c>
      <c r="P107" s="189" t="str">
        <f t="shared" si="67"/>
        <v>120,833333333333</v>
      </c>
      <c r="Q107" s="160" t="str">
        <f t="shared" si="68"/>
        <v>1+0,434892982616489i</v>
      </c>
      <c r="R107" s="160">
        <f t="shared" si="77"/>
        <v>1.0904732487911226</v>
      </c>
      <c r="S107" s="160">
        <f t="shared" si="78"/>
        <v>0.41022016319261817</v>
      </c>
      <c r="T107" s="160" t="str">
        <f t="shared" si="69"/>
        <v>1+0,0000292638268676515i</v>
      </c>
      <c r="U107" s="160">
        <f t="shared" si="79"/>
        <v>1.0000000004281857</v>
      </c>
      <c r="V107" s="160">
        <f t="shared" si="80"/>
        <v>2.926382685929793E-5</v>
      </c>
      <c r="W107" s="98" t="str">
        <f t="shared" si="70"/>
        <v>1-0,000250498357987097i</v>
      </c>
      <c r="X107" s="160">
        <f t="shared" si="81"/>
        <v>1.0000000313747133</v>
      </c>
      <c r="Y107" s="160">
        <f t="shared" si="82"/>
        <v>-2.5049835274755435E-4</v>
      </c>
      <c r="Z107" s="98" t="str">
        <f t="shared" si="71"/>
        <v>0,999999995020169+0,0000970272802804711i</v>
      </c>
      <c r="AA107" s="160">
        <f t="shared" si="83"/>
        <v>0.99999999972731546</v>
      </c>
      <c r="AB107" s="160">
        <f t="shared" si="84"/>
        <v>9.702728045916947E-5</v>
      </c>
      <c r="AC107" s="171" t="str">
        <f t="shared" si="85"/>
        <v>101,600676868171-44,2238780345711i</v>
      </c>
      <c r="AD107" s="190">
        <f t="shared" si="86"/>
        <v>40.891435081451462</v>
      </c>
      <c r="AE107" s="169">
        <f t="shared" si="87"/>
        <v>-23.522119080388883</v>
      </c>
      <c r="AF107" s="98" t="str">
        <f t="shared" si="72"/>
        <v>-0,0000375877424711299</v>
      </c>
      <c r="AG107" s="98" t="str">
        <f t="shared" si="73"/>
        <v>4,94070943615516E-07i</v>
      </c>
      <c r="AH107" s="98">
        <f t="shared" si="88"/>
        <v>4.9407094361551598E-7</v>
      </c>
      <c r="AI107" s="98">
        <f t="shared" si="89"/>
        <v>1.5707963267948966</v>
      </c>
      <c r="AJ107" s="98" t="str">
        <f t="shared" si="74"/>
        <v>1+0,000450657156105985i</v>
      </c>
      <c r="AK107" s="98">
        <f t="shared" si="90"/>
        <v>1.000000101545931</v>
      </c>
      <c r="AL107" s="98">
        <f t="shared" si="91"/>
        <v>4.5065712559772019E-4</v>
      </c>
      <c r="AM107" s="98" t="str">
        <f t="shared" si="75"/>
        <v>1+0,0351165922411818i</v>
      </c>
      <c r="AN107" s="98">
        <f t="shared" si="92"/>
        <v>1.0006163975523454</v>
      </c>
      <c r="AO107" s="98">
        <f t="shared" si="93"/>
        <v>3.5102167943817091E-2</v>
      </c>
      <c r="AP107" s="168" t="str">
        <f t="shared" si="94"/>
        <v>-2,63730136877102+76,0788104814229i</v>
      </c>
      <c r="AQ107" s="98">
        <f t="shared" si="95"/>
        <v>37.630490008638716</v>
      </c>
      <c r="AR107" s="169">
        <f t="shared" si="96"/>
        <v>91.985385323635882</v>
      </c>
      <c r="AS107" s="168" t="str">
        <f t="shared" si="97"/>
        <v>3096,54843157321+7846,29033431081i</v>
      </c>
      <c r="AT107" s="190">
        <f t="shared" si="98"/>
        <v>78.521925090090178</v>
      </c>
      <c r="AU107" s="169">
        <f t="shared" si="99"/>
        <v>68.463266243246991</v>
      </c>
      <c r="AV107" s="225"/>
      <c r="AX107">
        <f t="shared" si="100"/>
        <v>0</v>
      </c>
      <c r="AY107">
        <f t="shared" si="101"/>
        <v>0</v>
      </c>
    </row>
    <row r="108" spans="14:51" x14ac:dyDescent="0.25">
      <c r="N108" s="170">
        <v>90</v>
      </c>
      <c r="O108" s="199">
        <f t="shared" si="76"/>
        <v>79.432823472428197</v>
      </c>
      <c r="P108" s="189" t="str">
        <f t="shared" si="67"/>
        <v>120,833333333333</v>
      </c>
      <c r="Q108" s="160" t="str">
        <f t="shared" si="68"/>
        <v>1+0,445022941503529i</v>
      </c>
      <c r="R108" s="160">
        <f t="shared" si="77"/>
        <v>1.0945526110993722</v>
      </c>
      <c r="S108" s="160">
        <f t="shared" si="78"/>
        <v>0.41870730071156703</v>
      </c>
      <c r="T108" s="160" t="str">
        <f t="shared" si="69"/>
        <v>1+0,000029945468960985i</v>
      </c>
      <c r="U108" s="160">
        <f t="shared" si="79"/>
        <v>1.0000000004483656</v>
      </c>
      <c r="V108" s="160">
        <f t="shared" si="80"/>
        <v>2.994546895203399E-5</v>
      </c>
      <c r="W108" s="98" t="str">
        <f t="shared" si="70"/>
        <v>1-0,000256333214306032i</v>
      </c>
      <c r="X108" s="160">
        <f t="shared" si="81"/>
        <v>1.0000000328533578</v>
      </c>
      <c r="Y108" s="160">
        <f t="shared" si="82"/>
        <v>-2.5633320869176089E-4</v>
      </c>
      <c r="Z108" s="98" t="str">
        <f t="shared" si="71"/>
        <v>0,999999994785477+0,0000992873359710667i</v>
      </c>
      <c r="AA108" s="160">
        <f t="shared" si="83"/>
        <v>0.9999999997144644</v>
      </c>
      <c r="AB108" s="160">
        <f t="shared" si="84"/>
        <v>9.9287336162545445E-5</v>
      </c>
      <c r="AC108" s="171" t="str">
        <f t="shared" si="85"/>
        <v>100,844105238753-44,9172927522724i</v>
      </c>
      <c r="AD108" s="190">
        <f t="shared" si="86"/>
        <v>40.859002588750656</v>
      </c>
      <c r="AE108" s="169">
        <f t="shared" si="87"/>
        <v>-24.008820989429676</v>
      </c>
      <c r="AF108" s="98" t="str">
        <f t="shared" si="72"/>
        <v>-0,0000375877424711299</v>
      </c>
      <c r="AG108" s="98" t="str">
        <f t="shared" si="73"/>
        <v>5,05579334291297E-07i</v>
      </c>
      <c r="AH108" s="98">
        <f t="shared" si="88"/>
        <v>5.0557933429129704E-7</v>
      </c>
      <c r="AI108" s="98">
        <f t="shared" si="89"/>
        <v>1.5707963267948966</v>
      </c>
      <c r="AJ108" s="98" t="str">
        <f t="shared" si="74"/>
        <v>1+0,000461154309764428i</v>
      </c>
      <c r="AK108" s="98">
        <f t="shared" si="90"/>
        <v>1.000000106331643</v>
      </c>
      <c r="AL108" s="98">
        <f t="shared" si="91"/>
        <v>4.6115427707423348E-4</v>
      </c>
      <c r="AM108" s="98" t="str">
        <f t="shared" si="75"/>
        <v>1+0,035934562753182i</v>
      </c>
      <c r="AN108" s="98">
        <f t="shared" si="92"/>
        <v>1.0006454381049574</v>
      </c>
      <c r="AO108" s="98">
        <f t="shared" si="93"/>
        <v>3.5919107378476547E-2</v>
      </c>
      <c r="AP108" s="168" t="str">
        <f t="shared" si="94"/>
        <v>-2,63730134352829+74,3471000666248i</v>
      </c>
      <c r="AQ108" s="98">
        <f t="shared" si="95"/>
        <v>37.430742051061287</v>
      </c>
      <c r="AR108" s="169">
        <f t="shared" si="96"/>
        <v>92.031591062883166</v>
      </c>
      <c r="AS108" s="168" t="str">
        <f t="shared" si="97"/>
        <v>3073,51416474201+7615,92721983803i</v>
      </c>
      <c r="AT108" s="190">
        <f t="shared" si="98"/>
        <v>78.289744639811943</v>
      </c>
      <c r="AU108" s="169">
        <f t="shared" si="99"/>
        <v>68.022770073453458</v>
      </c>
      <c r="AV108" s="225"/>
      <c r="AX108">
        <f t="shared" si="100"/>
        <v>0</v>
      </c>
      <c r="AY108">
        <f t="shared" si="101"/>
        <v>0</v>
      </c>
    </row>
    <row r="109" spans="14:51" x14ac:dyDescent="0.25">
      <c r="N109" s="170">
        <v>91</v>
      </c>
      <c r="O109" s="199">
        <f t="shared" si="76"/>
        <v>81.283051616409963</v>
      </c>
      <c r="P109" s="189" t="str">
        <f t="shared" si="67"/>
        <v>120,833333333333</v>
      </c>
      <c r="Q109" s="160" t="str">
        <f t="shared" si="68"/>
        <v>1+0,455388857444729i</v>
      </c>
      <c r="R109" s="160">
        <f t="shared" si="77"/>
        <v>1.0988079957321095</v>
      </c>
      <c r="S109" s="160">
        <f t="shared" si="78"/>
        <v>0.42732625559671533</v>
      </c>
      <c r="T109" s="160" t="str">
        <f t="shared" si="69"/>
        <v>1+0,0000306429885383368i</v>
      </c>
      <c r="U109" s="160">
        <f t="shared" si="79"/>
        <v>1.0000000004694962</v>
      </c>
      <c r="V109" s="160">
        <f t="shared" si="80"/>
        <v>3.0642988528745618E-5</v>
      </c>
      <c r="W109" s="98" t="str">
        <f t="shared" si="70"/>
        <v>1-0,000262303981888163i</v>
      </c>
      <c r="X109" s="160">
        <f t="shared" si="81"/>
        <v>1.0000000344016888</v>
      </c>
      <c r="Y109" s="160">
        <f t="shared" si="82"/>
        <v>-2.6230397587236314E-4</v>
      </c>
      <c r="Z109" s="98" t="str">
        <f t="shared" si="71"/>
        <v>0,999999994539724+0,000101600035121417i</v>
      </c>
      <c r="AA109" s="160">
        <f t="shared" si="83"/>
        <v>0.99999999970100761</v>
      </c>
      <c r="AB109" s="160">
        <f t="shared" si="84"/>
        <v>1.0160003532659017E-4</v>
      </c>
      <c r="AC109" s="171" t="str">
        <f t="shared" si="85"/>
        <v>100,063850415874-45,6082315533151i</v>
      </c>
      <c r="AD109" s="190">
        <f t="shared" si="86"/>
        <v>40.825299209133433</v>
      </c>
      <c r="AE109" s="169">
        <f t="shared" si="87"/>
        <v>-24.503085370895576</v>
      </c>
      <c r="AF109" s="98" t="str">
        <f t="shared" si="72"/>
        <v>-0,0000375877424711299</v>
      </c>
      <c r="AG109" s="98" t="str">
        <f t="shared" si="73"/>
        <v>5,17355789822253E-07i</v>
      </c>
      <c r="AH109" s="98">
        <f t="shared" si="88"/>
        <v>5.1735578982225304E-7</v>
      </c>
      <c r="AI109" s="98">
        <f t="shared" si="89"/>
        <v>1.5707963267948966</v>
      </c>
      <c r="AJ109" s="98" t="str">
        <f t="shared" si="74"/>
        <v>1+0,000471895973542007i</v>
      </c>
      <c r="AK109" s="98">
        <f t="shared" si="90"/>
        <v>1.0000001113428987</v>
      </c>
      <c r="AL109" s="98">
        <f t="shared" si="91"/>
        <v>4.7189593851383268E-4</v>
      </c>
      <c r="AM109" s="98" t="str">
        <f t="shared" si="75"/>
        <v>1+0,0367715862460042i</v>
      </c>
      <c r="AN109" s="98">
        <f t="shared" si="92"/>
        <v>1.0006758463933498</v>
      </c>
      <c r="AO109" s="98">
        <f t="shared" si="93"/>
        <v>3.6755026117664617E-2</v>
      </c>
      <c r="AP109" s="168" t="str">
        <f t="shared" si="94"/>
        <v>-2,63730131709591+72,6548094683813i</v>
      </c>
      <c r="AQ109" s="98">
        <f t="shared" si="95"/>
        <v>37.231005956195517</v>
      </c>
      <c r="AR109" s="169">
        <f t="shared" si="96"/>
        <v>92.078870226789093</v>
      </c>
      <c r="AS109" s="168" t="str">
        <f t="shared" si="97"/>
        <v>3049,75884920045+7390,40263578391i</v>
      </c>
      <c r="AT109" s="190">
        <f t="shared" si="98"/>
        <v>78.056305165328951</v>
      </c>
      <c r="AU109" s="169">
        <f t="shared" si="99"/>
        <v>67.575784855893545</v>
      </c>
      <c r="AV109" s="225"/>
      <c r="AX109">
        <f t="shared" si="100"/>
        <v>0</v>
      </c>
      <c r="AY109">
        <f t="shared" si="101"/>
        <v>0</v>
      </c>
    </row>
    <row r="110" spans="14:51" x14ac:dyDescent="0.25">
      <c r="N110" s="170">
        <v>92</v>
      </c>
      <c r="O110" s="199">
        <f t="shared" si="76"/>
        <v>83.176377110267126</v>
      </c>
      <c r="P110" s="189" t="str">
        <f t="shared" si="67"/>
        <v>120,833333333333</v>
      </c>
      <c r="Q110" s="160" t="str">
        <f t="shared" si="68"/>
        <v>1+0,465996226585931i</v>
      </c>
      <c r="R110" s="160">
        <f t="shared" si="77"/>
        <v>1.1032463383996913</v>
      </c>
      <c r="S110" s="160">
        <f t="shared" si="78"/>
        <v>0.43607647452495235</v>
      </c>
      <c r="T110" s="160" t="str">
        <f t="shared" si="69"/>
        <v>1+0,0000313567554338195i</v>
      </c>
      <c r="U110" s="160">
        <f t="shared" si="79"/>
        <v>1.000000000491623</v>
      </c>
      <c r="V110" s="160">
        <f t="shared" si="80"/>
        <v>3.135675542354236E-5</v>
      </c>
      <c r="W110" s="98" t="str">
        <f t="shared" si="70"/>
        <v>1-0,000268413826513495i</v>
      </c>
      <c r="X110" s="160">
        <f t="shared" si="81"/>
        <v>1.0000000360229906</v>
      </c>
      <c r="Y110" s="160">
        <f t="shared" si="82"/>
        <v>-2.6841382006744939E-4</v>
      </c>
      <c r="Z110" s="98" t="str">
        <f t="shared" si="71"/>
        <v>0,999999994282389+0,000103966603955225i</v>
      </c>
      <c r="AA110" s="160">
        <f t="shared" si="83"/>
        <v>0.99999999968691622</v>
      </c>
      <c r="AB110" s="160">
        <f t="shared" si="84"/>
        <v>1.0396660417507203E-4</v>
      </c>
      <c r="AC110" s="171" t="str">
        <f t="shared" si="85"/>
        <v>99,2596491451333-46,2958289812433i</v>
      </c>
      <c r="AD110" s="190">
        <f t="shared" si="86"/>
        <v>40.790285549078654</v>
      </c>
      <c r="AE110" s="169">
        <f t="shared" si="87"/>
        <v>-25.004880752161299</v>
      </c>
      <c r="AF110" s="98" t="str">
        <f t="shared" si="72"/>
        <v>-0,0000375877424711299</v>
      </c>
      <c r="AG110" s="98" t="str">
        <f t="shared" si="73"/>
        <v>5,29406554240987E-07i</v>
      </c>
      <c r="AH110" s="98">
        <f t="shared" si="88"/>
        <v>5.2940655424098703E-7</v>
      </c>
      <c r="AI110" s="98">
        <f t="shared" si="89"/>
        <v>1.5707963267948966</v>
      </c>
      <c r="AJ110" s="98" t="str">
        <f t="shared" si="74"/>
        <v>1+0,00048288784281104i</v>
      </c>
      <c r="AK110" s="98">
        <f t="shared" si="90"/>
        <v>1.0000001165903276</v>
      </c>
      <c r="AL110" s="98">
        <f t="shared" si="91"/>
        <v>4.8288780527767526E-4</v>
      </c>
      <c r="AM110" s="98" t="str">
        <f t="shared" si="75"/>
        <v>1+0,0376281065205834i</v>
      </c>
      <c r="AN110" s="98">
        <f t="shared" si="92"/>
        <v>1.0007076867898659</v>
      </c>
      <c r="AO110" s="98">
        <f t="shared" si="93"/>
        <v>3.7610362701039526E-2</v>
      </c>
      <c r="AP110" s="168" t="str">
        <f t="shared" si="94"/>
        <v>-2,63730128941781+71,001041411817i</v>
      </c>
      <c r="AQ110" s="98">
        <f t="shared" si="95"/>
        <v>37.031282281602941</v>
      </c>
      <c r="AR110" s="169">
        <f t="shared" si="96"/>
        <v>92.12724761550507</v>
      </c>
      <c r="AS110" s="168" t="str">
        <f t="shared" si="97"/>
        <v>3025,27447001403+7169,63450894294i</v>
      </c>
      <c r="AT110" s="190">
        <f t="shared" si="98"/>
        <v>77.821567830681602</v>
      </c>
      <c r="AU110" s="169">
        <f t="shared" si="99"/>
        <v>67.122366863343814</v>
      </c>
      <c r="AV110" s="225"/>
      <c r="AX110">
        <f t="shared" si="100"/>
        <v>0</v>
      </c>
      <c r="AY110">
        <f t="shared" si="101"/>
        <v>0</v>
      </c>
    </row>
    <row r="111" spans="14:51" x14ac:dyDescent="0.25">
      <c r="N111" s="170">
        <v>93</v>
      </c>
      <c r="O111" s="199">
        <f t="shared" si="76"/>
        <v>85.113803820237734</v>
      </c>
      <c r="P111" s="189" t="str">
        <f t="shared" si="67"/>
        <v>120,833333333333</v>
      </c>
      <c r="Q111" s="160" t="str">
        <f t="shared" si="68"/>
        <v>1+0,476850673094658i</v>
      </c>
      <c r="R111" s="160">
        <f t="shared" si="77"/>
        <v>1.1078747963695303</v>
      </c>
      <c r="S111" s="160">
        <f t="shared" si="78"/>
        <v>0.44495723617459682</v>
      </c>
      <c r="T111" s="160" t="str">
        <f t="shared" si="69"/>
        <v>1+0,000032087148096089i</v>
      </c>
      <c r="U111" s="160">
        <f t="shared" si="79"/>
        <v>1.0000000005147924</v>
      </c>
      <c r="V111" s="160">
        <f t="shared" si="80"/>
        <v>3.2087148085076854E-5</v>
      </c>
      <c r="W111" s="98" t="str">
        <f t="shared" si="70"/>
        <v>1-0,000274665987702522i</v>
      </c>
      <c r="X111" s="160">
        <f t="shared" si="81"/>
        <v>1.0000000377207017</v>
      </c>
      <c r="Y111" s="160">
        <f t="shared" si="82"/>
        <v>-2.7466598079545966E-4</v>
      </c>
      <c r="Z111" s="98" t="str">
        <f t="shared" si="71"/>
        <v>0,999999994012926+0,00010638829725861i</v>
      </c>
      <c r="AA111" s="160">
        <f t="shared" si="83"/>
        <v>0.99999999967216091</v>
      </c>
      <c r="AB111" s="160">
        <f t="shared" si="84"/>
        <v>1.0638829749418036E-4</v>
      </c>
      <c r="AC111" s="171" t="str">
        <f t="shared" si="85"/>
        <v>98,431274090882-46,9791861661385i</v>
      </c>
      <c r="AD111" s="190">
        <f t="shared" si="86"/>
        <v>40.753921808946771</v>
      </c>
      <c r="AE111" s="169">
        <f t="shared" si="87"/>
        <v>-25.514166040359711</v>
      </c>
      <c r="AF111" s="98" t="str">
        <f t="shared" si="72"/>
        <v>-0,0000375877424711299</v>
      </c>
      <c r="AG111" s="98" t="str">
        <f t="shared" si="73"/>
        <v>5,41738017022303E-07i</v>
      </c>
      <c r="AH111" s="98">
        <f t="shared" si="88"/>
        <v>5.41738017022303E-7</v>
      </c>
      <c r="AI111" s="98">
        <f t="shared" si="89"/>
        <v>1.5707963267948966</v>
      </c>
      <c r="AJ111" s="98" t="str">
        <f t="shared" si="74"/>
        <v>1+0,000494135745606108i</v>
      </c>
      <c r="AK111" s="98">
        <f t="shared" si="90"/>
        <v>1.0000001220850601</v>
      </c>
      <c r="AL111" s="98">
        <f t="shared" si="91"/>
        <v>4.9413570538838338E-4</v>
      </c>
      <c r="AM111" s="98" t="str">
        <f t="shared" si="75"/>
        <v>1+0,0385045777153068i</v>
      </c>
      <c r="AN111" s="98">
        <f t="shared" si="92"/>
        <v>1.0007410266922376</v>
      </c>
      <c r="AO111" s="98">
        <f t="shared" si="93"/>
        <v>3.8485565630403479E-2</v>
      </c>
      <c r="AP111" s="168" t="str">
        <f t="shared" si="94"/>
        <v>-2,63730126043528+69,3849190472174i</v>
      </c>
      <c r="AQ111" s="98">
        <f t="shared" si="95"/>
        <v>36.831571610976582</v>
      </c>
      <c r="AR111" s="169">
        <f t="shared" si="96"/>
        <v>92.176748592370373</v>
      </c>
      <c r="AS111" s="168" t="str">
        <f t="shared" si="97"/>
        <v>3000,05410581554+6953,5442514005i</v>
      </c>
      <c r="AT111" s="190">
        <f t="shared" si="98"/>
        <v>77.585493419923367</v>
      </c>
      <c r="AU111" s="169">
        <f t="shared" si="99"/>
        <v>66.662582552010704</v>
      </c>
      <c r="AV111" s="225"/>
      <c r="AX111">
        <f t="shared" si="100"/>
        <v>0</v>
      </c>
      <c r="AY111">
        <f t="shared" si="101"/>
        <v>0</v>
      </c>
    </row>
    <row r="112" spans="14:51" x14ac:dyDescent="0.25">
      <c r="N112" s="170">
        <v>94</v>
      </c>
      <c r="O112" s="199">
        <f t="shared" si="76"/>
        <v>87.096358995608071</v>
      </c>
      <c r="P112" s="189" t="str">
        <f t="shared" si="67"/>
        <v>120,833333333333</v>
      </c>
      <c r="Q112" s="160" t="str">
        <f t="shared" si="68"/>
        <v>1+0,487957952142123i</v>
      </c>
      <c r="R112" s="160">
        <f t="shared" si="77"/>
        <v>1.1127007518011005</v>
      </c>
      <c r="S112" s="160">
        <f t="shared" si="78"/>
        <v>0.45396764497647291</v>
      </c>
      <c r="T112" s="160" t="str">
        <f t="shared" si="69"/>
        <v>1+0,0000328345537890025i</v>
      </c>
      <c r="U112" s="160">
        <f t="shared" si="79"/>
        <v>1.0000000005390539</v>
      </c>
      <c r="V112" s="160">
        <f t="shared" si="80"/>
        <v>3.2834553777202769E-5</v>
      </c>
      <c r="W112" s="98" t="str">
        <f t="shared" si="70"/>
        <v>1-0,000281063780433862i</v>
      </c>
      <c r="X112" s="160">
        <f t="shared" si="81"/>
        <v>1.0000000394984234</v>
      </c>
      <c r="Y112" s="160">
        <f t="shared" si="82"/>
        <v>-2.8106377303281134E-4</v>
      </c>
      <c r="Z112" s="98" t="str">
        <f t="shared" si="71"/>
        <v>0,999999993730764+0,000108866399045417i</v>
      </c>
      <c r="AA112" s="160">
        <f t="shared" si="83"/>
        <v>0.99999999965671038</v>
      </c>
      <c r="AB112" s="160">
        <f t="shared" si="84"/>
        <v>1.0886639929783519E-4</v>
      </c>
      <c r="AC112" s="171" t="str">
        <f t="shared" si="85"/>
        <v>97,5785368332007-47,6573720608872i</v>
      </c>
      <c r="AD112" s="190">
        <f t="shared" si="86"/>
        <v>40.716167844863321</v>
      </c>
      <c r="AE112" s="169">
        <f t="shared" si="87"/>
        <v>-26.030890164470936</v>
      </c>
      <c r="AF112" s="98" t="str">
        <f t="shared" si="72"/>
        <v>-0,0000375877424711299</v>
      </c>
      <c r="AG112" s="98" t="str">
        <f t="shared" si="73"/>
        <v>5,54356716470994E-07i</v>
      </c>
      <c r="AH112" s="98">
        <f t="shared" si="88"/>
        <v>5.5435671647099399E-7</v>
      </c>
      <c r="AI112" s="98">
        <f t="shared" si="89"/>
        <v>1.5707963267948966</v>
      </c>
      <c r="AJ112" s="98" t="str">
        <f t="shared" si="74"/>
        <v>1+0,000505645645714155i</v>
      </c>
      <c r="AK112" s="98">
        <f t="shared" si="90"/>
        <v>1.0000001278387514</v>
      </c>
      <c r="AL112" s="98">
        <f t="shared" si="91"/>
        <v>5.0564560262008685E-4</v>
      </c>
      <c r="AM112" s="98" t="str">
        <f t="shared" si="75"/>
        <v>1+0,0394014645468031i</v>
      </c>
      <c r="AN112" s="98">
        <f t="shared" si="92"/>
        <v>1.0007759366653621</v>
      </c>
      <c r="AO112" s="98">
        <f t="shared" si="93"/>
        <v>3.9381093583768845E-2</v>
      </c>
      <c r="AP112" s="168" t="str">
        <f t="shared" si="94"/>
        <v>-2,63730123008685+67,8055854851138i</v>
      </c>
      <c r="AQ112" s="98">
        <f t="shared" si="95"/>
        <v>36.631874555358884</v>
      </c>
      <c r="AR112" s="169">
        <f t="shared" si="96"/>
        <v>92.227399096000198</v>
      </c>
      <c r="AS112" s="168" t="str">
        <f t="shared" si="97"/>
        <v>2974,09202005009+6742,0566667148i</v>
      </c>
      <c r="AT112" s="190">
        <f t="shared" si="98"/>
        <v>77.348042400222212</v>
      </c>
      <c r="AU112" s="169">
        <f t="shared" si="99"/>
        <v>66.196508931529223</v>
      </c>
      <c r="AV112" s="225"/>
      <c r="AX112">
        <f t="shared" si="100"/>
        <v>0</v>
      </c>
      <c r="AY112">
        <f t="shared" si="101"/>
        <v>0</v>
      </c>
    </row>
    <row r="113" spans="14:51" x14ac:dyDescent="0.25">
      <c r="N113" s="170">
        <v>95</v>
      </c>
      <c r="O113" s="199">
        <f t="shared" si="76"/>
        <v>89.125093813374562</v>
      </c>
      <c r="P113" s="189" t="str">
        <f t="shared" si="67"/>
        <v>120,833333333333</v>
      </c>
      <c r="Q113" s="160" t="str">
        <f t="shared" si="68"/>
        <v>1+0,499323952954702i</v>
      </c>
      <c r="R113" s="160">
        <f t="shared" si="77"/>
        <v>1.1177318148797186</v>
      </c>
      <c r="S113" s="160">
        <f t="shared" si="78"/>
        <v>0.46310662512510858</v>
      </c>
      <c r="T113" s="160" t="str">
        <f t="shared" si="69"/>
        <v>1+0,0000335993687969518i</v>
      </c>
      <c r="U113" s="160">
        <f t="shared" si="79"/>
        <v>1.0000000005644587</v>
      </c>
      <c r="V113" s="160">
        <f t="shared" si="80"/>
        <v>3.359936878430816E-5</v>
      </c>
      <c r="W113" s="98" t="str">
        <f t="shared" si="70"/>
        <v>1-0,000287610596901907i</v>
      </c>
      <c r="X113" s="160">
        <f t="shared" si="81"/>
        <v>1.0000000413599268</v>
      </c>
      <c r="Y113" s="160">
        <f t="shared" si="82"/>
        <v>-2.8761058897153842E-4</v>
      </c>
      <c r="Z113" s="98" t="str">
        <f t="shared" si="71"/>
        <v>0,999999993435304+0,000111402223238016i</v>
      </c>
      <c r="AA113" s="160">
        <f t="shared" si="83"/>
        <v>0.99999999964053166</v>
      </c>
      <c r="AB113" s="160">
        <f t="shared" si="84"/>
        <v>1.1140222350848698E-4</v>
      </c>
      <c r="AC113" s="171" t="str">
        <f t="shared" si="85"/>
        <v>96,7012908709013-48,3294249388118i</v>
      </c>
      <c r="AD113" s="190">
        <f t="shared" si="86"/>
        <v>40.676983235568713</v>
      </c>
      <c r="AE113" s="169">
        <f t="shared" si="87"/>
        <v>-26.554991732316985</v>
      </c>
      <c r="AF113" s="98" t="str">
        <f t="shared" si="72"/>
        <v>-0,0000375877424711299</v>
      </c>
      <c r="AG113" s="98" t="str">
        <f t="shared" si="73"/>
        <v>5,67269343188537E-07i</v>
      </c>
      <c r="AH113" s="98">
        <f t="shared" si="88"/>
        <v>5.6726934318853696E-7</v>
      </c>
      <c r="AI113" s="98">
        <f t="shared" si="89"/>
        <v>1.5707963267948966</v>
      </c>
      <c r="AJ113" s="98" t="str">
        <f t="shared" si="74"/>
        <v>1+0,000517423645836572i</v>
      </c>
      <c r="AK113" s="98">
        <f t="shared" si="90"/>
        <v>1.0000001338636058</v>
      </c>
      <c r="AL113" s="98">
        <f t="shared" si="91"/>
        <v>5.1742359966044634E-4</v>
      </c>
      <c r="AM113" s="98" t="str">
        <f t="shared" si="75"/>
        <v>1+0,0403192425563422i</v>
      </c>
      <c r="AN113" s="98">
        <f t="shared" si="92"/>
        <v>1.0008124905896794</v>
      </c>
      <c r="AO113" s="98">
        <f t="shared" si="93"/>
        <v>4.0297415633137927E-2</v>
      </c>
      <c r="AP113" s="168" t="str">
        <f t="shared" si="94"/>
        <v>-2,63730119830815+66,2622033419456i</v>
      </c>
      <c r="AQ113" s="98">
        <f t="shared" si="95"/>
        <v>36.432191754414767</v>
      </c>
      <c r="AR113" s="169">
        <f t="shared" si="96"/>
        <v>92.279225652582298</v>
      </c>
      <c r="AS113" s="168" t="str">
        <f t="shared" si="97"/>
        <v>2947,38375240307+6535,09984942096i</v>
      </c>
      <c r="AT113" s="190">
        <f t="shared" si="98"/>
        <v>77.109174989983472</v>
      </c>
      <c r="AU113" s="169">
        <f t="shared" si="99"/>
        <v>65.72423392026532</v>
      </c>
      <c r="AV113" s="225"/>
      <c r="AX113">
        <f t="shared" si="100"/>
        <v>0</v>
      </c>
      <c r="AY113">
        <f t="shared" si="101"/>
        <v>0</v>
      </c>
    </row>
    <row r="114" spans="14:51" x14ac:dyDescent="0.25">
      <c r="N114" s="170">
        <v>96</v>
      </c>
      <c r="O114" s="199">
        <f t="shared" si="76"/>
        <v>91.201083935590972</v>
      </c>
      <c r="P114" s="189" t="str">
        <f t="shared" si="67"/>
        <v>120,833333333333</v>
      </c>
      <c r="Q114" s="160" t="str">
        <f t="shared" si="68"/>
        <v>1+0,510954701936472i</v>
      </c>
      <c r="R114" s="160">
        <f t="shared" si="77"/>
        <v>1.1229758267349252</v>
      </c>
      <c r="S114" s="160">
        <f t="shared" si="78"/>
        <v>0.4723729149008104</v>
      </c>
      <c r="T114" s="160" t="str">
        <f t="shared" si="69"/>
        <v>1+0,0000343819986349774i</v>
      </c>
      <c r="U114" s="160">
        <f t="shared" si="79"/>
        <v>1.0000000005910608</v>
      </c>
      <c r="V114" s="160">
        <f t="shared" si="80"/>
        <v>3.4381998621429494E-5</v>
      </c>
      <c r="W114" s="98" t="str">
        <f t="shared" si="70"/>
        <v>1-0,000294309908315406i</v>
      </c>
      <c r="X114" s="160">
        <f t="shared" si="81"/>
        <v>1.00000004330916</v>
      </c>
      <c r="Y114" s="160">
        <f t="shared" si="82"/>
        <v>-2.9430989981786294E-4</v>
      </c>
      <c r="Z114" s="98" t="str">
        <f t="shared" si="71"/>
        <v>0,999999993125919+0,000113997114363958i</v>
      </c>
      <c r="AA114" s="160">
        <f t="shared" si="83"/>
        <v>0.9999999996235901</v>
      </c>
      <c r="AB114" s="160">
        <f t="shared" si="84"/>
        <v>1.139971146537729E-4</v>
      </c>
      <c r="AC114" s="171" t="str">
        <f t="shared" si="85"/>
        <v>95,7994346081007-48,9943541628941i</v>
      </c>
      <c r="AD114" s="190">
        <f t="shared" si="86"/>
        <v>40.636327354223951</v>
      </c>
      <c r="AE114" s="169">
        <f t="shared" si="87"/>
        <v>-27.086398705371387</v>
      </c>
      <c r="AF114" s="98" t="str">
        <f t="shared" si="72"/>
        <v>-0,0000375877424711299</v>
      </c>
      <c r="AG114" s="98" t="str">
        <f t="shared" si="73"/>
        <v>5,80482743620536E-07i</v>
      </c>
      <c r="AH114" s="98">
        <f t="shared" si="88"/>
        <v>5.8048274362053598E-7</v>
      </c>
      <c r="AI114" s="98">
        <f t="shared" si="89"/>
        <v>1.5707963267948966</v>
      </c>
      <c r="AJ114" s="98" t="str">
        <f t="shared" si="74"/>
        <v>1+0,000529475990824922i</v>
      </c>
      <c r="AK114" s="98">
        <f t="shared" si="90"/>
        <v>1.0000001401724026</v>
      </c>
      <c r="AL114" s="98">
        <f t="shared" si="91"/>
        <v>5.2947594134631227E-4</v>
      </c>
      <c r="AM114" s="98" t="str">
        <f t="shared" si="75"/>
        <v>1+0,0412583983619729i</v>
      </c>
      <c r="AN114" s="98">
        <f t="shared" si="92"/>
        <v>1.0008507658164603</v>
      </c>
      <c r="AO114" s="98">
        <f t="shared" si="93"/>
        <v>4.123501146599004E-2</v>
      </c>
      <c r="AP114" s="168" t="str">
        <f t="shared" si="94"/>
        <v>-2,63730116503175+64,753954296072i</v>
      </c>
      <c r="AQ114" s="98">
        <f t="shared" si="95"/>
        <v>36.232523877764301</v>
      </c>
      <c r="AR114" s="169">
        <f t="shared" si="96"/>
        <v>92.33225538838191</v>
      </c>
      <c r="AS114" s="168" t="str">
        <f t="shared" si="97"/>
        <v>2919,92620972828+6332,60507751627i</v>
      </c>
      <c r="AT114" s="190">
        <f t="shared" si="98"/>
        <v>76.868851231988245</v>
      </c>
      <c r="AU114" s="169">
        <f t="shared" si="99"/>
        <v>65.245856683010572</v>
      </c>
      <c r="AV114" s="225"/>
      <c r="AX114">
        <f t="shared" si="100"/>
        <v>0</v>
      </c>
      <c r="AY114">
        <f t="shared" si="101"/>
        <v>0</v>
      </c>
    </row>
    <row r="115" spans="14:51" x14ac:dyDescent="0.25">
      <c r="N115" s="170">
        <v>97</v>
      </c>
      <c r="O115" s="199">
        <f t="shared" si="76"/>
        <v>93.325430079699174</v>
      </c>
      <c r="P115" s="189" t="str">
        <f t="shared" si="67"/>
        <v>120,833333333333</v>
      </c>
      <c r="Q115" s="160" t="str">
        <f t="shared" si="68"/>
        <v>1+0,522856365864494i</v>
      </c>
      <c r="R115" s="160">
        <f t="shared" si="77"/>
        <v>1.1284408621301452</v>
      </c>
      <c r="S115" s="160">
        <f t="shared" si="78"/>
        <v>0.48176506135518432</v>
      </c>
      <c r="T115" s="160" t="str">
        <f t="shared" si="69"/>
        <v>1+0,0000351828582637788i</v>
      </c>
      <c r="U115" s="160">
        <f t="shared" si="79"/>
        <v>1.0000000006189167</v>
      </c>
      <c r="V115" s="160">
        <f t="shared" si="80"/>
        <v>3.5182858249261959E-5</v>
      </c>
      <c r="W115" s="98" t="str">
        <f t="shared" si="70"/>
        <v>1-0,000301165266737947i</v>
      </c>
      <c r="X115" s="160">
        <f t="shared" si="81"/>
        <v>1.000000045350258</v>
      </c>
      <c r="Y115" s="160">
        <f t="shared" si="82"/>
        <v>-3.0116525763266557E-4</v>
      </c>
      <c r="Z115" s="98" t="str">
        <f t="shared" si="71"/>
        <v>0,999999992801954+0,000116652448268866i</v>
      </c>
      <c r="AA115" s="160">
        <f t="shared" si="83"/>
        <v>0.99999999960585073</v>
      </c>
      <c r="AB115" s="160">
        <f t="shared" si="84"/>
        <v>1.166524485794082E-4</v>
      </c>
      <c r="AC115" s="171" t="str">
        <f t="shared" si="85"/>
        <v>94,8729142999813-49,6511422350061i</v>
      </c>
      <c r="AD115" s="190">
        <f t="shared" si="86"/>
        <v>40.594159445125754</v>
      </c>
      <c r="AE115" s="169">
        <f t="shared" si="87"/>
        <v>-27.625028094396139</v>
      </c>
      <c r="AF115" s="98" t="str">
        <f t="shared" si="72"/>
        <v>-0,0000375877424711299</v>
      </c>
      <c r="AG115" s="98" t="str">
        <f t="shared" si="73"/>
        <v>0,0000005940039236868i</v>
      </c>
      <c r="AH115" s="98">
        <f t="shared" si="88"/>
        <v>5.9400392368680003E-7</v>
      </c>
      <c r="AI115" s="98">
        <f t="shared" si="89"/>
        <v>1.5707963267948966</v>
      </c>
      <c r="AJ115" s="98" t="str">
        <f t="shared" si="74"/>
        <v>1+0,000541809070992053i</v>
      </c>
      <c r="AK115" s="98">
        <f t="shared" si="90"/>
        <v>1.0000001467785238</v>
      </c>
      <c r="AL115" s="98">
        <f t="shared" si="91"/>
        <v>5.4180901797476803E-4</v>
      </c>
      <c r="AM115" s="98" t="str">
        <f t="shared" si="75"/>
        <v>1+0,0422194299165347i</v>
      </c>
      <c r="AN115" s="98">
        <f t="shared" si="92"/>
        <v>1.000890843330319</v>
      </c>
      <c r="AO115" s="98">
        <f t="shared" si="93"/>
        <v>4.2194371610468767E-2</v>
      </c>
      <c r="AP115" s="168" t="str">
        <f t="shared" si="94"/>
        <v>-2,6373011301871+63,2800386538841i</v>
      </c>
      <c r="AQ115" s="98">
        <f t="shared" si="95"/>
        <v>36.032871626375581</v>
      </c>
      <c r="AR115" s="169">
        <f t="shared" si="96"/>
        <v>92.386516042454389</v>
      </c>
      <c r="AS115" s="168" t="str">
        <f t="shared" si="97"/>
        <v>2891,7177557332+6134,50669764091i</v>
      </c>
      <c r="AT115" s="190">
        <f t="shared" si="98"/>
        <v>76.627031071501335</v>
      </c>
      <c r="AU115" s="169">
        <f t="shared" si="99"/>
        <v>64.761487948058246</v>
      </c>
      <c r="AV115" s="225"/>
      <c r="AX115">
        <f t="shared" si="100"/>
        <v>0</v>
      </c>
      <c r="AY115">
        <f t="shared" si="101"/>
        <v>0</v>
      </c>
    </row>
    <row r="116" spans="14:51" x14ac:dyDescent="0.25">
      <c r="N116" s="170">
        <v>98</v>
      </c>
      <c r="O116" s="199">
        <f t="shared" si="76"/>
        <v>95.499258602143655</v>
      </c>
      <c r="P116" s="189" t="str">
        <f t="shared" si="67"/>
        <v>120,833333333333</v>
      </c>
      <c r="Q116" s="160" t="str">
        <f t="shared" si="68"/>
        <v>1+0,535035255158519i</v>
      </c>
      <c r="R116" s="160">
        <f t="shared" si="77"/>
        <v>1.1341352319113192</v>
      </c>
      <c r="S116" s="160">
        <f t="shared" si="78"/>
        <v>0.49128141541404202</v>
      </c>
      <c r="T116" s="160" t="str">
        <f t="shared" si="69"/>
        <v>1+0,0000360023723097319i</v>
      </c>
      <c r="U116" s="160">
        <f t="shared" si="79"/>
        <v>1.0000000006480854</v>
      </c>
      <c r="V116" s="160">
        <f t="shared" si="80"/>
        <v>3.6002372294176822E-5</v>
      </c>
      <c r="W116" s="98" t="str">
        <f t="shared" si="70"/>
        <v>1-0,000308180306971305i</v>
      </c>
      <c r="X116" s="160">
        <f t="shared" si="81"/>
        <v>1.0000000474875497</v>
      </c>
      <c r="Y116" s="160">
        <f t="shared" si="82"/>
        <v>-3.0818029721482021E-4</v>
      </c>
      <c r="Z116" s="98" t="str">
        <f t="shared" si="71"/>
        <v>0,99999999246272+0,000119369632845924i</v>
      </c>
      <c r="AA116" s="160">
        <f t="shared" si="83"/>
        <v>0.9999999995872747</v>
      </c>
      <c r="AB116" s="160">
        <f t="shared" si="84"/>
        <v>1.1936963317867602E-4</v>
      </c>
      <c r="AC116" s="171" t="str">
        <f t="shared" si="85"/>
        <v>93,9217269315265-50,2987471314297i</v>
      </c>
      <c r="AD116" s="190">
        <f t="shared" si="86"/>
        <v>40.55043870524247</v>
      </c>
      <c r="AE116" s="169">
        <f t="shared" si="87"/>
        <v>-28.170785678995685</v>
      </c>
      <c r="AF116" s="98" t="str">
        <f t="shared" si="72"/>
        <v>-0,0000375877424711299</v>
      </c>
      <c r="AG116" s="98" t="str">
        <f t="shared" si="73"/>
        <v>6,07840052495975E-07i</v>
      </c>
      <c r="AH116" s="98">
        <f t="shared" si="88"/>
        <v>6.0784005249597501E-7</v>
      </c>
      <c r="AI116" s="98">
        <f t="shared" si="89"/>
        <v>1.5707963267948966</v>
      </c>
      <c r="AJ116" s="98" t="str">
        <f t="shared" si="74"/>
        <v>1+0,000554429425500313i</v>
      </c>
      <c r="AK116" s="98">
        <f t="shared" si="90"/>
        <v>1.0000001536959822</v>
      </c>
      <c r="AL116" s="98">
        <f t="shared" si="91"/>
        <v>5.5442936869126908E-4</v>
      </c>
      <c r="AM116" s="98" t="str">
        <f t="shared" si="75"/>
        <v>1+0,0432028467716783i</v>
      </c>
      <c r="AN116" s="98">
        <f t="shared" si="92"/>
        <v>1.0009328079192814</v>
      </c>
      <c r="AO116" s="98">
        <f t="shared" si="93"/>
        <v>4.3175997664250607E-2</v>
      </c>
      <c r="AP116" s="168" t="str">
        <f t="shared" si="94"/>
        <v>-2,63730109370026+61,8396749257993i</v>
      </c>
      <c r="AQ116" s="98">
        <f t="shared" si="95"/>
        <v>35.833235734022345</v>
      </c>
      <c r="AR116" s="169">
        <f t="shared" si="96"/>
        <v>92.442035979564139</v>
      </c>
      <c r="AS116" s="168" t="str">
        <f t="shared" si="97"/>
        <v>2862,75829862386+5940,74200273676i</v>
      </c>
      <c r="AT116" s="190">
        <f t="shared" si="98"/>
        <v>76.383674439264809</v>
      </c>
      <c r="AU116" s="169">
        <f t="shared" si="99"/>
        <v>64.271250300568468</v>
      </c>
      <c r="AV116" s="225"/>
      <c r="AX116">
        <f t="shared" si="100"/>
        <v>0</v>
      </c>
      <c r="AY116">
        <f t="shared" si="101"/>
        <v>0</v>
      </c>
    </row>
    <row r="117" spans="14:51" x14ac:dyDescent="0.25">
      <c r="N117" s="170">
        <v>99</v>
      </c>
      <c r="O117" s="199">
        <f t="shared" si="76"/>
        <v>97.723722095581124</v>
      </c>
      <c r="P117" s="189" t="str">
        <f t="shared" si="67"/>
        <v>120,833333333333</v>
      </c>
      <c r="Q117" s="160" t="str">
        <f t="shared" si="68"/>
        <v>1+0,547497827226857i</v>
      </c>
      <c r="R117" s="160">
        <f t="shared" si="77"/>
        <v>1.1400674852034547</v>
      </c>
      <c r="S117" s="160">
        <f t="shared" si="78"/>
        <v>0.5009201274526206</v>
      </c>
      <c r="T117" s="160" t="str">
        <f t="shared" si="69"/>
        <v>1+0,0000368409752900313i</v>
      </c>
      <c r="U117" s="160">
        <f t="shared" si="79"/>
        <v>1.0000000006786287</v>
      </c>
      <c r="V117" s="160">
        <f t="shared" si="80"/>
        <v>3.6840975273363736E-5</v>
      </c>
      <c r="W117" s="98" t="str">
        <f t="shared" si="70"/>
        <v>1-0,000315358748482668i</v>
      </c>
      <c r="X117" s="160">
        <f t="shared" si="81"/>
        <v>1.0000000497255688</v>
      </c>
      <c r="Y117" s="160">
        <f t="shared" si="82"/>
        <v>-3.1535873802840625E-4</v>
      </c>
      <c r="Z117" s="98" t="str">
        <f t="shared" si="71"/>
        <v>0,999999992107499+0,00012215010878236i</v>
      </c>
      <c r="AA117" s="160">
        <f t="shared" si="83"/>
        <v>0.99999999956782348</v>
      </c>
      <c r="AB117" s="160">
        <f t="shared" si="84"/>
        <v>1.2215010913891022E-4</v>
      </c>
      <c r="AC117" s="171" t="str">
        <f t="shared" si="85"/>
        <v>92,9459230013296-50,936104928509i</v>
      </c>
      <c r="AD117" s="190">
        <f t="shared" si="86"/>
        <v>40.505124370436143</v>
      </c>
      <c r="AE117" s="169">
        <f t="shared" si="87"/>
        <v>-28.723565754236425</v>
      </c>
      <c r="AF117" s="98" t="str">
        <f t="shared" si="72"/>
        <v>-0,0000375877424711299</v>
      </c>
      <c r="AG117" s="98" t="str">
        <f t="shared" si="73"/>
        <v>6,21998466146697E-07i</v>
      </c>
      <c r="AH117" s="98">
        <f t="shared" si="88"/>
        <v>6.2199846614669698E-7</v>
      </c>
      <c r="AI117" s="98">
        <f t="shared" si="89"/>
        <v>1.5707963267948966</v>
      </c>
      <c r="AJ117" s="98" t="str">
        <f t="shared" si="74"/>
        <v>1+0,000567343745828714i</v>
      </c>
      <c r="AK117" s="98">
        <f t="shared" si="90"/>
        <v>1.00000016093945</v>
      </c>
      <c r="AL117" s="98">
        <f t="shared" si="91"/>
        <v>5.6734368495672729E-4</v>
      </c>
      <c r="AM117" s="98" t="str">
        <f t="shared" si="75"/>
        <v>1+0,0442091703480376i</v>
      </c>
      <c r="AN117" s="98">
        <f t="shared" si="92"/>
        <v>1.0009767483527585</v>
      </c>
      <c r="AO117" s="98">
        <f t="shared" si="93"/>
        <v>4.418040252707392E-2</v>
      </c>
      <c r="AP117" s="168" t="str">
        <f t="shared" si="94"/>
        <v>-2,63730105549385+60,4320994119031i</v>
      </c>
      <c r="AQ117" s="98">
        <f t="shared" si="95"/>
        <v>35.633616968807587</v>
      </c>
      <c r="AR117" s="169">
        <f t="shared" si="96"/>
        <v>92.498844203309019</v>
      </c>
      <c r="AS117" s="168" t="str">
        <f t="shared" si="97"/>
        <v>2833,04937585953+5751,25110203814i</v>
      </c>
      <c r="AT117" s="190">
        <f t="shared" si="98"/>
        <v>76.138741339243722</v>
      </c>
      <c r="AU117" s="169">
        <f t="shared" si="99"/>
        <v>63.775278449072559</v>
      </c>
      <c r="AV117" s="225"/>
      <c r="AX117">
        <f t="shared" si="100"/>
        <v>0</v>
      </c>
      <c r="AY117">
        <f t="shared" si="101"/>
        <v>0</v>
      </c>
    </row>
    <row r="118" spans="14:51" x14ac:dyDescent="0.25">
      <c r="N118" s="170">
        <v>100</v>
      </c>
      <c r="O118" s="199">
        <f t="shared" si="76"/>
        <v>100</v>
      </c>
      <c r="P118" s="189" t="str">
        <f t="shared" si="67"/>
        <v>120,833333333333</v>
      </c>
      <c r="Q118" s="160" t="str">
        <f t="shared" si="68"/>
        <v>1+0,560250689890182i</v>
      </c>
      <c r="R118" s="160">
        <f t="shared" si="77"/>
        <v>1.1462464113454947</v>
      </c>
      <c r="S118" s="160">
        <f t="shared" si="78"/>
        <v>0.51067914339851306</v>
      </c>
      <c r="T118" s="160" t="str">
        <f t="shared" si="69"/>
        <v>1+0,0000376991118430775i</v>
      </c>
      <c r="U118" s="160">
        <f t="shared" si="79"/>
        <v>1.0000000007106116</v>
      </c>
      <c r="V118" s="160">
        <f t="shared" si="80"/>
        <v>3.7699111825217888E-5</v>
      </c>
      <c r="W118" s="98" t="str">
        <f t="shared" si="70"/>
        <v>1-0,000322704397376743i</v>
      </c>
      <c r="X118" s="160">
        <f t="shared" si="81"/>
        <v>1.0000000520690626</v>
      </c>
      <c r="Y118" s="160">
        <f t="shared" si="82"/>
        <v>-3.2270438617479976E-4</v>
      </c>
      <c r="Z118" s="98" t="str">
        <f t="shared" si="71"/>
        <v>0,999999991735537+0,000124995350323321i</v>
      </c>
      <c r="AA118" s="160">
        <f t="shared" si="83"/>
        <v>0.99999999954745578</v>
      </c>
      <c r="AB118" s="160">
        <f t="shared" si="84"/>
        <v>1.2499535070537143E-4</v>
      </c>
      <c r="AC118" s="171" t="str">
        <f t="shared" si="85"/>
        <v>91,9456091811468-51,5621327195539i</v>
      </c>
      <c r="AD118" s="190">
        <f t="shared" si="86"/>
        <v>40.458175806191008</v>
      </c>
      <c r="AE118" s="169">
        <f t="shared" si="87"/>
        <v>-29.283250907504328</v>
      </c>
      <c r="AF118" s="98" t="str">
        <f t="shared" si="72"/>
        <v>-0,0000375877424711299</v>
      </c>
      <c r="AG118" s="98" t="str">
        <f t="shared" si="73"/>
        <v>6,36486671617292E-07i</v>
      </c>
      <c r="AH118" s="98">
        <f t="shared" si="88"/>
        <v>6.3648667161729199E-7</v>
      </c>
      <c r="AI118" s="98">
        <f t="shared" si="89"/>
        <v>1.5707963267948966</v>
      </c>
      <c r="AJ118" s="98" t="str">
        <f t="shared" si="74"/>
        <v>1+0,000580558879320837i</v>
      </c>
      <c r="AK118" s="98">
        <f t="shared" si="90"/>
        <v>1.0000001685242921</v>
      </c>
      <c r="AL118" s="98">
        <f t="shared" si="91"/>
        <v>5.8055881409532859E-4</v>
      </c>
      <c r="AM118" s="98" t="str">
        <f t="shared" si="75"/>
        <v>1+0,045238934211693i</v>
      </c>
      <c r="AN118" s="98">
        <f t="shared" si="92"/>
        <v>1.0010227575677837</v>
      </c>
      <c r="AO118" s="98">
        <f t="shared" si="93"/>
        <v>4.5208110636892659E-2</v>
      </c>
      <c r="AP118" s="168" t="str">
        <f t="shared" si="94"/>
        <v>-2,63730101548684+59,0565657970265i</v>
      </c>
      <c r="AQ118" s="98">
        <f t="shared" si="95"/>
        <v>35.434016134757428</v>
      </c>
      <c r="AR118" s="169">
        <f t="shared" si="96"/>
        <v>92.55697036944764</v>
      </c>
      <c r="AS118" s="168" t="str">
        <f t="shared" si="97"/>
        <v>2802,59423512435+5565,97678333603i</v>
      </c>
      <c r="AT118" s="190">
        <f t="shared" si="98"/>
        <v>75.892191940948436</v>
      </c>
      <c r="AU118" s="169">
        <f t="shared" si="99"/>
        <v>63.273719461943358</v>
      </c>
      <c r="AV118" s="225"/>
      <c r="AX118">
        <f t="shared" si="100"/>
        <v>0</v>
      </c>
      <c r="AY118">
        <f t="shared" si="101"/>
        <v>0</v>
      </c>
    </row>
    <row r="119" spans="14:51" x14ac:dyDescent="0.25">
      <c r="N119" s="170">
        <v>1</v>
      </c>
      <c r="O119" s="199">
        <f>10^(2+(N119/100))</f>
        <v>102.32929922807544</v>
      </c>
      <c r="P119" s="189" t="str">
        <f t="shared" si="67"/>
        <v>120,833333333333</v>
      </c>
      <c r="Q119" s="160" t="str">
        <f t="shared" si="68"/>
        <v>1+0,573300604885081i</v>
      </c>
      <c r="R119" s="160">
        <f t="shared" si="77"/>
        <v>1.1526810415555553</v>
      </c>
      <c r="S119" s="160">
        <f t="shared" si="78"/>
        <v>0.52055620141763237</v>
      </c>
      <c r="T119" s="160" t="str">
        <f t="shared" si="69"/>
        <v>1+0,0000385772369642295i</v>
      </c>
      <c r="U119" s="160">
        <f t="shared" si="79"/>
        <v>1.0000000007441014</v>
      </c>
      <c r="V119" s="160">
        <f t="shared" si="80"/>
        <v>3.8577236945092582E-5</v>
      </c>
      <c r="W119" s="98" t="str">
        <f t="shared" si="70"/>
        <v>1-0,000330221148413805i</v>
      </c>
      <c r="X119" s="160">
        <f t="shared" si="81"/>
        <v>1.0000000545230019</v>
      </c>
      <c r="Y119" s="160">
        <f t="shared" si="82"/>
        <v>-3.3022113641070658E-4</v>
      </c>
      <c r="Z119" s="98" t="str">
        <f t="shared" si="71"/>
        <v>0,999999991346045+0,000127906866053532i</v>
      </c>
      <c r="AA119" s="160">
        <f t="shared" si="83"/>
        <v>0.99999999952612817</v>
      </c>
      <c r="AB119" s="160">
        <f t="shared" si="84"/>
        <v>1.2790686646290639E-4</v>
      </c>
      <c r="AC119" s="171" t="str">
        <f t="shared" si="85"/>
        <v>90,9209508206364-52,1757318210858i</v>
      </c>
      <c r="AD119" s="190">
        <f t="shared" si="86"/>
        <v>40.409552602616785</v>
      </c>
      <c r="AE119" s="169">
        <f t="shared" si="87"/>
        <v>-29.849711828771508</v>
      </c>
      <c r="AF119" s="98" t="str">
        <f t="shared" si="72"/>
        <v>-0,0000375877424711299</v>
      </c>
      <c r="AG119" s="98" t="str">
        <f t="shared" si="73"/>
        <v>6,51312350746077E-07i</v>
      </c>
      <c r="AH119" s="98">
        <f t="shared" si="88"/>
        <v>6.5131235074607702E-7</v>
      </c>
      <c r="AI119" s="98">
        <f t="shared" si="89"/>
        <v>1.5707963267948966</v>
      </c>
      <c r="AJ119" s="98" t="str">
        <f t="shared" si="74"/>
        <v>1+0,000594081832815381i</v>
      </c>
      <c r="AK119" s="98">
        <f t="shared" si="90"/>
        <v>1.0000001764665964</v>
      </c>
      <c r="AL119" s="98">
        <f t="shared" si="91"/>
        <v>5.9408176292499021E-4</v>
      </c>
      <c r="AM119" s="98" t="str">
        <f t="shared" si="75"/>
        <v>1+0,0462926843570755i</v>
      </c>
      <c r="AN119" s="98">
        <f t="shared" si="92"/>
        <v>1.0010709328638925</v>
      </c>
      <c r="AO119" s="98">
        <f t="shared" si="93"/>
        <v>4.6259658209616507E-2</v>
      </c>
      <c r="AP119" s="168" t="str">
        <f t="shared" si="94"/>
        <v>-2,63730097359435+57,7123447550392i</v>
      </c>
      <c r="AQ119" s="98">
        <f t="shared" si="95"/>
        <v>35.234434073487428</v>
      </c>
      <c r="AR119" s="169">
        <f t="shared" si="96"/>
        <v>92.616444799427427</v>
      </c>
      <c r="AS119" s="168" t="str">
        <f t="shared" si="97"/>
        <v>2771,39791058558+5384,86436754628i</v>
      </c>
      <c r="AT119" s="190">
        <f t="shared" si="98"/>
        <v>75.64398667610422</v>
      </c>
      <c r="AU119" s="169">
        <f t="shared" si="99"/>
        <v>62.766732970655973</v>
      </c>
      <c r="AV119" s="225"/>
      <c r="AX119">
        <f t="shared" si="100"/>
        <v>0</v>
      </c>
      <c r="AY119">
        <f t="shared" si="101"/>
        <v>0</v>
      </c>
    </row>
    <row r="120" spans="14:51" x14ac:dyDescent="0.25">
      <c r="N120" s="170">
        <v>2</v>
      </c>
      <c r="O120" s="199">
        <f t="shared" ref="O120:O183" si="102">10^(2+(N120/100))</f>
        <v>104.71285480508998</v>
      </c>
      <c r="P120" s="189" t="str">
        <f t="shared" si="67"/>
        <v>120,833333333333</v>
      </c>
      <c r="Q120" s="160" t="str">
        <f t="shared" si="68"/>
        <v>1+0,586654491449221i</v>
      </c>
      <c r="R120" s="160">
        <f t="shared" si="77"/>
        <v>1.1593806503204822</v>
      </c>
      <c r="S120" s="160">
        <f t="shared" si="78"/>
        <v>0.53054882923787816</v>
      </c>
      <c r="T120" s="160" t="str">
        <f t="shared" si="69"/>
        <v>1+0,0000394758162470502i</v>
      </c>
      <c r="U120" s="160">
        <f t="shared" si="79"/>
        <v>1.0000000007791701</v>
      </c>
      <c r="V120" s="160">
        <f t="shared" si="80"/>
        <v>3.9475816226544616E-5</v>
      </c>
      <c r="W120" s="98" t="str">
        <f t="shared" si="70"/>
        <v>1-0,00033791298707475i</v>
      </c>
      <c r="X120" s="160">
        <f t="shared" si="81"/>
        <v>1.0000000570925918</v>
      </c>
      <c r="Y120" s="160">
        <f t="shared" si="82"/>
        <v>-3.3791297421319839E-4</v>
      </c>
      <c r="Z120" s="98" t="str">
        <f t="shared" si="71"/>
        <v>0,999999990938197+0,000130886199697173i</v>
      </c>
      <c r="AA120" s="160">
        <f t="shared" si="83"/>
        <v>0.99999999950379559</v>
      </c>
      <c r="AB120" s="160">
        <f t="shared" si="84"/>
        <v>1.3088620013582554E-4</v>
      </c>
      <c r="AC120" s="171" t="str">
        <f t="shared" si="85"/>
        <v>89,872174265849-52,7757912632415i</v>
      </c>
      <c r="AD120" s="190">
        <f t="shared" si="86"/>
        <v>40.359214673444583</v>
      </c>
      <c r="AE120" s="169">
        <f t="shared" si="87"/>
        <v>-30.422807157404236</v>
      </c>
      <c r="AF120" s="98" t="str">
        <f t="shared" si="72"/>
        <v>-0,0000375877424711299</v>
      </c>
      <c r="AG120" s="98" t="str">
        <f t="shared" si="73"/>
        <v>6,66483364304365E-07i</v>
      </c>
      <c r="AH120" s="98">
        <f t="shared" si="88"/>
        <v>6.6648336430436498E-7</v>
      </c>
      <c r="AI120" s="98">
        <f t="shared" si="89"/>
        <v>1.5707963267948966</v>
      </c>
      <c r="AJ120" s="98" t="str">
        <f t="shared" si="74"/>
        <v>1+0,000607919776361286i</v>
      </c>
      <c r="AK120" s="98">
        <f t="shared" si="90"/>
        <v>1.0000001847832103</v>
      </c>
      <c r="AL120" s="98">
        <f t="shared" si="91"/>
        <v>6.0791970147238382E-4</v>
      </c>
      <c r="AM120" s="98" t="str">
        <f t="shared" si="75"/>
        <v>1+0,0473709794964603i</v>
      </c>
      <c r="AN120" s="98">
        <f t="shared" si="92"/>
        <v>1.0011213761070403</v>
      </c>
      <c r="AO120" s="98">
        <f t="shared" si="93"/>
        <v>4.7335593482385765E-2</v>
      </c>
      <c r="AP120" s="168" t="str">
        <f t="shared" si="94"/>
        <v>-2,63730092972753+56,3987235621517i</v>
      </c>
      <c r="AQ120" s="98">
        <f t="shared" si="95"/>
        <v>35.034871665945168</v>
      </c>
      <c r="AR120" s="169">
        <f t="shared" si="96"/>
        <v>92.677298494110445</v>
      </c>
      <c r="AS120" s="168" t="str">
        <f t="shared" si="97"/>
        <v>2739,46729348142+5207,8615557148i</v>
      </c>
      <c r="AT120" s="190">
        <f t="shared" si="98"/>
        <v>75.394086339389773</v>
      </c>
      <c r="AU120" s="169">
        <f t="shared" si="99"/>
        <v>62.254491336706245</v>
      </c>
      <c r="AV120" s="225"/>
      <c r="AX120">
        <f t="shared" si="100"/>
        <v>0</v>
      </c>
      <c r="AY120">
        <f t="shared" si="101"/>
        <v>0</v>
      </c>
    </row>
    <row r="121" spans="14:51" x14ac:dyDescent="0.25">
      <c r="N121" s="170">
        <v>3</v>
      </c>
      <c r="O121" s="199">
        <f t="shared" si="102"/>
        <v>107.15193052376065</v>
      </c>
      <c r="P121" s="189" t="str">
        <f t="shared" si="67"/>
        <v>120,833333333333</v>
      </c>
      <c r="Q121" s="160" t="str">
        <f t="shared" si="68"/>
        <v>1+0,600319429990017i</v>
      </c>
      <c r="R121" s="160">
        <f t="shared" si="77"/>
        <v>1.1663547565057293</v>
      </c>
      <c r="S121" s="160">
        <f t="shared" si="78"/>
        <v>0.54065434216383312</v>
      </c>
      <c r="T121" s="160" t="str">
        <f t="shared" si="69"/>
        <v>1+0,0000403953261301692i</v>
      </c>
      <c r="U121" s="160">
        <f t="shared" si="79"/>
        <v>1.0000000008158911</v>
      </c>
      <c r="V121" s="160">
        <f t="shared" si="80"/>
        <v>4.0395326108197069E-5</v>
      </c>
      <c r="W121" s="98" t="str">
        <f t="shared" si="70"/>
        <v>1-0,000345783991674248i</v>
      </c>
      <c r="X121" s="160">
        <f t="shared" si="81"/>
        <v>1.0000000597832825</v>
      </c>
      <c r="Y121" s="160">
        <f t="shared" si="82"/>
        <v>-3.4578397789284716E-4</v>
      </c>
      <c r="Z121" s="98" t="str">
        <f t="shared" si="71"/>
        <v>0,999999990511127+0,000133934930936376i</v>
      </c>
      <c r="AA121" s="160">
        <f t="shared" si="83"/>
        <v>0.99999999948040974</v>
      </c>
      <c r="AB121" s="160">
        <f t="shared" si="84"/>
        <v>1.339349314064007E-4</v>
      </c>
      <c r="AC121" s="171" t="str">
        <f t="shared" si="85"/>
        <v>88,7995689595146-53,3611915556409i</v>
      </c>
      <c r="AD121" s="190">
        <f t="shared" si="86"/>
        <v>40.307122358682278</v>
      </c>
      <c r="AE121" s="169">
        <f t="shared" si="87"/>
        <v>-31.00238336856701</v>
      </c>
      <c r="AF121" s="98" t="str">
        <f t="shared" si="72"/>
        <v>-0,0000375877424711299</v>
      </c>
      <c r="AG121" s="98" t="str">
        <f t="shared" si="73"/>
        <v>6,82007756164357E-07i</v>
      </c>
      <c r="AH121" s="98">
        <f t="shared" si="88"/>
        <v>6.8200775616435697E-7</v>
      </c>
      <c r="AI121" s="98">
        <f t="shared" si="89"/>
        <v>1.5707963267948966</v>
      </c>
      <c r="AJ121" s="98" t="str">
        <f t="shared" si="74"/>
        <v>1+0,000622080047019387i</v>
      </c>
      <c r="AK121" s="98">
        <f t="shared" si="90"/>
        <v>1.0000001934917737</v>
      </c>
      <c r="AL121" s="98">
        <f t="shared" si="91"/>
        <v>6.2207996677448338E-4</v>
      </c>
      <c r="AM121" s="98" t="str">
        <f t="shared" si="75"/>
        <v>1+0,0484743913562031i</v>
      </c>
      <c r="AN121" s="98">
        <f t="shared" si="92"/>
        <v>1.0011741939429692</v>
      </c>
      <c r="AO121" s="98">
        <f t="shared" si="93"/>
        <v>4.8436476960319462E-2</v>
      </c>
      <c r="AP121" s="168" t="str">
        <f t="shared" si="94"/>
        <v>-2,63730088379334+55,1150057190202i</v>
      </c>
      <c r="AQ121" s="98">
        <f t="shared" si="95"/>
        <v>34.835329834231999</v>
      </c>
      <c r="AR121" s="169">
        <f t="shared" si="96"/>
        <v>92.739563147693119</v>
      </c>
      <c r="AS121" s="168" t="str">
        <f t="shared" si="97"/>
        <v>2706,81119606549+5034,91826870013i</v>
      </c>
      <c r="AT121" s="190">
        <f t="shared" si="98"/>
        <v>75.142452192914277</v>
      </c>
      <c r="AU121" s="169">
        <f t="shared" si="99"/>
        <v>61.737179779126073</v>
      </c>
      <c r="AV121" s="225"/>
      <c r="AX121">
        <f t="shared" si="100"/>
        <v>0</v>
      </c>
      <c r="AY121">
        <f t="shared" si="101"/>
        <v>0</v>
      </c>
    </row>
    <row r="122" spans="14:51" x14ac:dyDescent="0.25">
      <c r="N122" s="170">
        <v>4</v>
      </c>
      <c r="O122" s="199">
        <f t="shared" si="102"/>
        <v>109.64781961431861</v>
      </c>
      <c r="P122" s="189" t="str">
        <f t="shared" si="67"/>
        <v>120,833333333333</v>
      </c>
      <c r="Q122" s="160" t="str">
        <f t="shared" si="68"/>
        <v>1+0,614302665838762i</v>
      </c>
      <c r="R122" s="160">
        <f t="shared" si="77"/>
        <v>1.1736131241838639</v>
      </c>
      <c r="S122" s="160">
        <f t="shared" si="78"/>
        <v>0.55086984183382914</v>
      </c>
      <c r="T122" s="160" t="str">
        <f t="shared" si="69"/>
        <v>1+0,0000413362541498978i</v>
      </c>
      <c r="U122" s="160">
        <f t="shared" si="79"/>
        <v>1.0000000008543428</v>
      </c>
      <c r="V122" s="160">
        <f t="shared" si="80"/>
        <v>4.1336254126354243E-5</v>
      </c>
      <c r="W122" s="98" t="str">
        <f t="shared" si="70"/>
        <v>1-0,000353838335523125i</v>
      </c>
      <c r="X122" s="160">
        <f t="shared" si="81"/>
        <v>1.0000000626007819</v>
      </c>
      <c r="Y122" s="160">
        <f t="shared" si="82"/>
        <v>-3.5383832075608801E-4</v>
      </c>
      <c r="Z122" s="98" t="str">
        <f t="shared" si="71"/>
        <v>0,99999999006393+0,0001370546762488i</v>
      </c>
      <c r="AA122" s="160">
        <f t="shared" si="83"/>
        <v>0.99999999945592222</v>
      </c>
      <c r="AB122" s="160">
        <f t="shared" si="84"/>
        <v>1.3705467675244055E-4</v>
      </c>
      <c r="AC122" s="171" t="str">
        <f t="shared" si="85"/>
        <v>87,7034892910178-53,9308087163057i</v>
      </c>
      <c r="AD122" s="190">
        <f t="shared" si="86"/>
        <v>40.253236530540462</v>
      </c>
      <c r="AE122" s="169">
        <f t="shared" si="87"/>
        <v>-31.588274702165059</v>
      </c>
      <c r="AF122" s="98" t="str">
        <f t="shared" si="72"/>
        <v>-0,0000375877424711299</v>
      </c>
      <c r="AG122" s="98" t="str">
        <f t="shared" si="73"/>
        <v>6,97893757564109E-07i</v>
      </c>
      <c r="AH122" s="98">
        <f t="shared" si="88"/>
        <v>6.9789375756410905E-7</v>
      </c>
      <c r="AI122" s="98">
        <f t="shared" si="89"/>
        <v>1.5707963267948966</v>
      </c>
      <c r="AJ122" s="98" t="str">
        <f t="shared" si="74"/>
        <v>1+0,000636570152752621i</v>
      </c>
      <c r="AK122" s="98">
        <f t="shared" si="90"/>
        <v>1.0000002026107593</v>
      </c>
      <c r="AL122" s="98">
        <f t="shared" si="91"/>
        <v>6.3657006676865857E-4</v>
      </c>
      <c r="AM122" s="98" t="str">
        <f t="shared" si="75"/>
        <v>1+0,0496035049798774i</v>
      </c>
      <c r="AN122" s="98">
        <f t="shared" si="92"/>
        <v>1.0012294980204532</v>
      </c>
      <c r="AO122" s="98">
        <f t="shared" si="93"/>
        <v>4.9562881666665441E-2</v>
      </c>
      <c r="AP122" s="168" t="str">
        <f t="shared" si="94"/>
        <v>-2,63730083569433+53,860510581451i</v>
      </c>
      <c r="AQ122" s="98">
        <f t="shared" si="95"/>
        <v>34.635809543507293</v>
      </c>
      <c r="AR122" s="169">
        <f t="shared" si="96"/>
        <v>92.803271161816042</v>
      </c>
      <c r="AS122" s="168" t="str">
        <f t="shared" si="97"/>
        <v>2673,44040793028+4865,98647988622i</v>
      </c>
      <c r="AT122" s="190">
        <f t="shared" si="98"/>
        <v>74.889046074047741</v>
      </c>
      <c r="AU122" s="169">
        <f t="shared" si="99"/>
        <v>61.214996459651005</v>
      </c>
      <c r="AV122" s="225"/>
      <c r="AX122">
        <f t="shared" si="100"/>
        <v>0</v>
      </c>
      <c r="AY122">
        <f t="shared" si="101"/>
        <v>0</v>
      </c>
    </row>
    <row r="123" spans="14:51" x14ac:dyDescent="0.25">
      <c r="N123" s="170">
        <v>5</v>
      </c>
      <c r="O123" s="199">
        <f t="shared" si="102"/>
        <v>112.20184543019634</v>
      </c>
      <c r="P123" s="189" t="str">
        <f t="shared" si="67"/>
        <v>120,833333333333</v>
      </c>
      <c r="Q123" s="160" t="str">
        <f t="shared" si="68"/>
        <v>1+0,62861161309219i</v>
      </c>
      <c r="R123" s="160">
        <f t="shared" si="77"/>
        <v>1.1811657631824439</v>
      </c>
      <c r="S123" s="160">
        <f t="shared" si="78"/>
        <v>0.5611922157679774</v>
      </c>
      <c r="T123" s="160" t="str">
        <f t="shared" si="69"/>
        <v>1+0,0000422990991987266i</v>
      </c>
      <c r="U123" s="160">
        <f t="shared" si="79"/>
        <v>1.0000000008946068</v>
      </c>
      <c r="V123" s="160">
        <f t="shared" si="80"/>
        <v>4.2299099173499222E-5</v>
      </c>
      <c r="W123" s="98" t="str">
        <f t="shared" si="70"/>
        <v>1-0,0003620802891411i</v>
      </c>
      <c r="X123" s="160">
        <f t="shared" si="81"/>
        <v>1.0000000655510657</v>
      </c>
      <c r="Y123" s="160">
        <f t="shared" si="82"/>
        <v>-3.6208027331793483E-4</v>
      </c>
      <c r="Z123" s="98" t="str">
        <f t="shared" si="71"/>
        <v>0,999999989595658+0,000140247089764705i</v>
      </c>
      <c r="AA123" s="160">
        <f t="shared" si="83"/>
        <v>0.99999999943028117</v>
      </c>
      <c r="AB123" s="160">
        <f t="shared" si="84"/>
        <v>1.4024709030436549E-4</v>
      </c>
      <c r="AC123" s="171" t="str">
        <f t="shared" si="85"/>
        <v>86,5843561642884-54,4835185473675i</v>
      </c>
      <c r="AD123" s="190">
        <f t="shared" si="86"/>
        <v>40.197518702189647</v>
      </c>
      <c r="AE123" s="169">
        <f t="shared" si="87"/>
        <v>-32.180303137109803</v>
      </c>
      <c r="AF123" s="98" t="str">
        <f t="shared" si="72"/>
        <v>-0,0000375877424711299</v>
      </c>
      <c r="AG123" s="98" t="str">
        <f t="shared" si="73"/>
        <v>7,14149791471836E-07i</v>
      </c>
      <c r="AH123" s="98">
        <f t="shared" si="88"/>
        <v>7.1414979147183595E-7</v>
      </c>
      <c r="AI123" s="98">
        <f t="shared" si="89"/>
        <v>1.5707963267948966</v>
      </c>
      <c r="AJ123" s="98" t="str">
        <f t="shared" si="74"/>
        <v>1+0,000651397776406846i</v>
      </c>
      <c r="AK123" s="98">
        <f t="shared" si="90"/>
        <v>1.0000002121595091</v>
      </c>
      <c r="AL123" s="98">
        <f t="shared" si="91"/>
        <v>6.5139768427337143E-4</v>
      </c>
      <c r="AM123" s="98" t="str">
        <f t="shared" si="75"/>
        <v>1+0,050758919038472i</v>
      </c>
      <c r="AN123" s="98">
        <f t="shared" si="92"/>
        <v>1.0012874052248706</v>
      </c>
      <c r="AO123" s="98">
        <f t="shared" si="93"/>
        <v>5.0715393396266552E-2</v>
      </c>
      <c r="AP123" s="168" t="str">
        <f t="shared" si="94"/>
        <v>-2,63730078532849+52,6345729995178i</v>
      </c>
      <c r="AQ123" s="98">
        <f t="shared" si="95"/>
        <v>34.436311803980026</v>
      </c>
      <c r="AR123" s="169">
        <f t="shared" si="96"/>
        <v>92.868455659858256</v>
      </c>
      <c r="AS123" s="168" t="str">
        <f t="shared" si="97"/>
        <v>2639,36774374276+4701,02004139792i</v>
      </c>
      <c r="AT123" s="190">
        <f t="shared" si="98"/>
        <v>74.633830506169673</v>
      </c>
      <c r="AU123" s="169">
        <f t="shared" si="99"/>
        <v>60.688152522748446</v>
      </c>
      <c r="AV123" s="225"/>
      <c r="AX123">
        <f t="shared" si="100"/>
        <v>0</v>
      </c>
      <c r="AY123">
        <f t="shared" si="101"/>
        <v>0</v>
      </c>
    </row>
    <row r="124" spans="14:51" x14ac:dyDescent="0.25">
      <c r="N124" s="170">
        <v>6</v>
      </c>
      <c r="O124" s="199">
        <f t="shared" si="102"/>
        <v>114.81536214968835</v>
      </c>
      <c r="P124" s="189" t="str">
        <f t="shared" si="67"/>
        <v>120,833333333333</v>
      </c>
      <c r="Q124" s="160" t="str">
        <f t="shared" si="68"/>
        <v>1+0,643253858543539i</v>
      </c>
      <c r="R124" s="160">
        <f t="shared" si="77"/>
        <v>1.1890229293546661</v>
      </c>
      <c r="S124" s="160">
        <f t="shared" si="78"/>
        <v>0.57161813775231196</v>
      </c>
      <c r="T124" s="160" t="str">
        <f t="shared" si="69"/>
        <v>1+0,0000432843717898454i</v>
      </c>
      <c r="U124" s="160">
        <f t="shared" si="79"/>
        <v>1.0000000009367684</v>
      </c>
      <c r="V124" s="160">
        <f t="shared" si="80"/>
        <v>4.3284371762813778E-5</v>
      </c>
      <c r="W124" s="98" t="str">
        <f t="shared" si="70"/>
        <v>1-0,000370514222521077i</v>
      </c>
      <c r="X124" s="160">
        <f t="shared" si="81"/>
        <v>1.0000000686403923</v>
      </c>
      <c r="Y124" s="160">
        <f t="shared" si="82"/>
        <v>-3.7051420556625012E-4</v>
      </c>
      <c r="Z124" s="98" t="str">
        <f t="shared" si="71"/>
        <v>0,999999989105316+0,000143513864143992i</v>
      </c>
      <c r="AA124" s="160">
        <f t="shared" si="83"/>
        <v>0.99999999940343065</v>
      </c>
      <c r="AB124" s="160">
        <f t="shared" si="84"/>
        <v>1.4351386472224873E-4</v>
      </c>
      <c r="AC124" s="171" t="str">
        <f t="shared" si="85"/>
        <v>85,4426582526245-55,0182011373469i</v>
      </c>
      <c r="AD124" s="190">
        <f t="shared" si="86"/>
        <v>40.139931138855943</v>
      </c>
      <c r="AE124" s="169">
        <f t="shared" si="87"/>
        <v>-32.778278413493062</v>
      </c>
      <c r="AF124" s="98" t="str">
        <f t="shared" si="72"/>
        <v>-0,0000375877424711299</v>
      </c>
      <c r="AG124" s="98" t="str">
        <f t="shared" si="73"/>
        <v>7,30784477051892E-07i</v>
      </c>
      <c r="AH124" s="98">
        <f t="shared" si="88"/>
        <v>7.3078447705189196E-7</v>
      </c>
      <c r="AI124" s="98">
        <f t="shared" si="89"/>
        <v>1.5707963267948966</v>
      </c>
      <c r="AJ124" s="98" t="str">
        <f t="shared" si="74"/>
        <v>1+0,000666570779784391i</v>
      </c>
      <c r="AK124" s="98">
        <f t="shared" si="90"/>
        <v>1.0000002221582776</v>
      </c>
      <c r="AL124" s="98">
        <f t="shared" si="91"/>
        <v>6.6657068106159548E-4</v>
      </c>
      <c r="AM124" s="98" t="str">
        <f t="shared" si="75"/>
        <v>1+0,0519412461478146i</v>
      </c>
      <c r="AN124" s="98">
        <f t="shared" si="92"/>
        <v>1.0013480379225737</v>
      </c>
      <c r="AO124" s="98">
        <f t="shared" si="93"/>
        <v>5.1894610972246215E-2</v>
      </c>
      <c r="AP124" s="168" t="str">
        <f t="shared" si="94"/>
        <v>-2,63730073258898+51,4365429648866i</v>
      </c>
      <c r="AQ124" s="98">
        <f t="shared" si="95"/>
        <v>34.236837672989331</v>
      </c>
      <c r="AR124" s="169">
        <f t="shared" si="96"/>
        <v>92.935150501411002</v>
      </c>
      <c r="AS124" s="168" t="str">
        <f t="shared" si="97"/>
        <v>2604,60808144792+4539,97450441049i</v>
      </c>
      <c r="AT124" s="190">
        <f t="shared" si="98"/>
        <v>74.376768811845267</v>
      </c>
      <c r="AU124" s="169">
        <f t="shared" si="99"/>
        <v>60.156872087917918</v>
      </c>
      <c r="AV124" s="225"/>
      <c r="AX124">
        <f t="shared" si="100"/>
        <v>0</v>
      </c>
      <c r="AY124">
        <f t="shared" si="101"/>
        <v>0</v>
      </c>
    </row>
    <row r="125" spans="14:51" x14ac:dyDescent="0.25">
      <c r="N125" s="170">
        <v>7</v>
      </c>
      <c r="O125" s="199">
        <f t="shared" si="102"/>
        <v>117.48975549395293</v>
      </c>
      <c r="P125" s="189" t="str">
        <f t="shared" si="67"/>
        <v>120,833333333333</v>
      </c>
      <c r="Q125" s="160" t="str">
        <f t="shared" si="68"/>
        <v>1+0,658237165705159i</v>
      </c>
      <c r="R125" s="160">
        <f t="shared" si="77"/>
        <v>1.1971951245789305</v>
      </c>
      <c r="S125" s="160">
        <f t="shared" si="78"/>
        <v>0.58214406909992344</v>
      </c>
      <c r="T125" s="160" t="str">
        <f t="shared" si="69"/>
        <v>1+0,0000442925943278235i</v>
      </c>
      <c r="U125" s="160">
        <f t="shared" si="79"/>
        <v>1.0000000009809169</v>
      </c>
      <c r="V125" s="160">
        <f t="shared" si="80"/>
        <v>4.4292594298858601E-5</v>
      </c>
      <c r="W125" s="98" t="str">
        <f t="shared" si="70"/>
        <v>1-0,00037914460744617i</v>
      </c>
      <c r="X125" s="160">
        <f t="shared" si="81"/>
        <v>1.0000000718753141</v>
      </c>
      <c r="Y125" s="160">
        <f t="shared" si="82"/>
        <v>-3.7914458927874574E-4</v>
      </c>
      <c r="Z125" s="98" t="str">
        <f t="shared" si="71"/>
        <v>0,999999988591866+0,000146856731473679i</v>
      </c>
      <c r="AA125" s="160">
        <f t="shared" si="83"/>
        <v>0.99999999937531581</v>
      </c>
      <c r="AB125" s="160">
        <f t="shared" si="84"/>
        <v>1.4685673209329213E-4</v>
      </c>
      <c r="AC125" s="171" t="str">
        <f t="shared" si="85"/>
        <v>84,2789529107708-55,5337455657984i</v>
      </c>
      <c r="AD125" s="190">
        <f t="shared" si="86"/>
        <v>40.08043697071215</v>
      </c>
      <c r="AE125" s="169">
        <f t="shared" si="87"/>
        <v>-33.381998105013714</v>
      </c>
      <c r="AF125" s="98" t="str">
        <f t="shared" si="72"/>
        <v>-0,0000375877424711299</v>
      </c>
      <c r="AG125" s="98" t="str">
        <f t="shared" si="73"/>
        <v>7,47806634234756E-07i</v>
      </c>
      <c r="AH125" s="98">
        <f t="shared" si="88"/>
        <v>7.4780663423475602E-7</v>
      </c>
      <c r="AI125" s="98">
        <f t="shared" si="89"/>
        <v>1.5707963267948966</v>
      </c>
      <c r="AJ125" s="98" t="str">
        <f t="shared" si="74"/>
        <v>1+0,000682097207812484i</v>
      </c>
      <c r="AK125" s="98">
        <f t="shared" si="90"/>
        <v>1.0000002326282733</v>
      </c>
      <c r="AL125" s="98">
        <f t="shared" si="91"/>
        <v>6.8209710202910413E-4</v>
      </c>
      <c r="AM125" s="98" t="str">
        <f t="shared" si="75"/>
        <v>1+0,0531511131933883i</v>
      </c>
      <c r="AN125" s="98">
        <f t="shared" si="92"/>
        <v>1.0014115242165411</v>
      </c>
      <c r="AO125" s="98">
        <f t="shared" si="93"/>
        <v>5.3101146505800084E-2</v>
      </c>
      <c r="AP125" s="168" t="str">
        <f t="shared" si="94"/>
        <v>-2,63730067736393+50,265785266175i</v>
      </c>
      <c r="AQ125" s="98">
        <f t="shared" si="95"/>
        <v>34.037388257180091</v>
      </c>
      <c r="AR125" s="169">
        <f t="shared" si="96"/>
        <v>93.003390296923826</v>
      </c>
      <c r="AS125" s="168" t="str">
        <f t="shared" si="97"/>
        <v>2569,17839003772+4382,80693426812i</v>
      </c>
      <c r="AT125" s="190">
        <f t="shared" si="98"/>
        <v>74.11782522789224</v>
      </c>
      <c r="AU125" s="169">
        <f t="shared" si="99"/>
        <v>59.621392191910168</v>
      </c>
      <c r="AV125" s="225"/>
      <c r="AX125">
        <f t="shared" si="100"/>
        <v>0</v>
      </c>
      <c r="AY125">
        <f t="shared" si="101"/>
        <v>0</v>
      </c>
    </row>
    <row r="126" spans="14:51" x14ac:dyDescent="0.25">
      <c r="N126" s="170">
        <v>8</v>
      </c>
      <c r="O126" s="199">
        <f t="shared" si="102"/>
        <v>120.22644346174135</v>
      </c>
      <c r="P126" s="189" t="str">
        <f t="shared" si="67"/>
        <v>120,833333333333</v>
      </c>
      <c r="Q126" s="160" t="str">
        <f t="shared" si="68"/>
        <v>1+0,673569478924836i</v>
      </c>
      <c r="R126" s="160">
        <f t="shared" si="77"/>
        <v>1.205693096496399</v>
      </c>
      <c r="S126" s="160">
        <f t="shared" si="78"/>
        <v>0.5927662608250257</v>
      </c>
      <c r="T126" s="160" t="str">
        <f t="shared" si="69"/>
        <v>1+0,0000453243013855962i</v>
      </c>
      <c r="U126" s="160">
        <f t="shared" si="79"/>
        <v>1.0000000010271461</v>
      </c>
      <c r="V126" s="160">
        <f t="shared" si="80"/>
        <v>4.532430135455975E-5</v>
      </c>
      <c r="W126" s="98" t="str">
        <f t="shared" si="70"/>
        <v>1-0,000387976019860704i</v>
      </c>
      <c r="X126" s="160">
        <f t="shared" si="81"/>
        <v>1.0000000752626932</v>
      </c>
      <c r="Y126" s="160">
        <f t="shared" si="82"/>
        <v>-3.879760003939583E-4</v>
      </c>
      <c r="Z126" s="98" t="str">
        <f t="shared" si="71"/>
        <v>0,999999988054217+0,000150277464186273i</v>
      </c>
      <c r="AA126" s="160">
        <f t="shared" si="83"/>
        <v>0.99999999934587513</v>
      </c>
      <c r="AB126" s="160">
        <f t="shared" si="84"/>
        <v>1.502774648502005E-4</v>
      </c>
      <c r="AC126" s="171" t="str">
        <f t="shared" si="85"/>
        <v>83,0938667164474-56,0290547821881i</v>
      </c>
      <c r="AD126" s="190">
        <f t="shared" si="86"/>
        <v>40.019000306975776</v>
      </c>
      <c r="AE126" s="169">
        <f t="shared" si="87"/>
        <v>-33.991247743714688</v>
      </c>
      <c r="AF126" s="98" t="str">
        <f t="shared" si="72"/>
        <v>-0,0000375877424711299</v>
      </c>
      <c r="AG126" s="98" t="str">
        <f t="shared" si="73"/>
        <v>7,65225288393483E-07i</v>
      </c>
      <c r="AH126" s="98">
        <f t="shared" si="88"/>
        <v>7.6522528839348305E-7</v>
      </c>
      <c r="AI126" s="98">
        <f t="shared" si="89"/>
        <v>1.5707963267948966</v>
      </c>
      <c r="AJ126" s="98" t="str">
        <f t="shared" si="74"/>
        <v>1+0,000697985292808786i</v>
      </c>
      <c r="AK126" s="98">
        <f t="shared" si="90"/>
        <v>1.0000002435917048</v>
      </c>
      <c r="AL126" s="98">
        <f t="shared" si="91"/>
        <v>6.979851794598538E-4</v>
      </c>
      <c r="AM126" s="98" t="str">
        <f t="shared" si="75"/>
        <v>1+0,0543891616627155i</v>
      </c>
      <c r="AN126" s="98">
        <f t="shared" si="92"/>
        <v>1.0014779982138264</v>
      </c>
      <c r="AO126" s="98">
        <f t="shared" si="93"/>
        <v>5.4335625658968344E-2</v>
      </c>
      <c r="AP126" s="168" t="str">
        <f t="shared" si="94"/>
        <v>-2,63730061953623+49,1216791521546i</v>
      </c>
      <c r="AQ126" s="98">
        <f t="shared" si="95"/>
        <v>33.837964714776241</v>
      </c>
      <c r="AR126" s="169">
        <f t="shared" si="96"/>
        <v>93.073210422515899</v>
      </c>
      <c r="AS126" s="168" t="str">
        <f t="shared" si="97"/>
        <v>2533,09774603819+4229,47572124632i</v>
      </c>
      <c r="AT126" s="190">
        <f t="shared" si="98"/>
        <v>73.856965021752018</v>
      </c>
      <c r="AU126" s="169">
        <f t="shared" si="99"/>
        <v>59.081962678801204</v>
      </c>
      <c r="AV126" s="225"/>
      <c r="AX126">
        <f t="shared" si="100"/>
        <v>0</v>
      </c>
      <c r="AY126">
        <f t="shared" si="101"/>
        <v>0</v>
      </c>
    </row>
    <row r="127" spans="14:51" x14ac:dyDescent="0.25">
      <c r="N127" s="170">
        <v>9</v>
      </c>
      <c r="O127" s="199">
        <f t="shared" si="102"/>
        <v>123.02687708123821</v>
      </c>
      <c r="P127" s="189" t="str">
        <f t="shared" si="67"/>
        <v>120,833333333333</v>
      </c>
      <c r="Q127" s="160" t="str">
        <f t="shared" si="68"/>
        <v>1+0,689258927597983i</v>
      </c>
      <c r="R127" s="160">
        <f t="shared" si="77"/>
        <v>1.2145278379985869</v>
      </c>
      <c r="S127" s="160">
        <f t="shared" si="78"/>
        <v>0.60348075676012636</v>
      </c>
      <c r="T127" s="160" t="str">
        <f t="shared" si="69"/>
        <v>1+0,0000463800399879014i</v>
      </c>
      <c r="U127" s="160">
        <f t="shared" si="79"/>
        <v>1.0000000010755541</v>
      </c>
      <c r="V127" s="160">
        <f t="shared" si="80"/>
        <v>4.6380039954645237E-5</v>
      </c>
      <c r="W127" s="98" t="str">
        <f t="shared" si="70"/>
        <v>1-0,000397013142296436i</v>
      </c>
      <c r="X127" s="160">
        <f t="shared" si="81"/>
        <v>1.0000000788097145</v>
      </c>
      <c r="Y127" s="160">
        <f t="shared" si="82"/>
        <v>-3.9701312143744223E-4</v>
      </c>
      <c r="Z127" s="98" t="str">
        <f t="shared" si="71"/>
        <v>0,999999987491229+0,000153777875999535i</v>
      </c>
      <c r="AA127" s="160">
        <f t="shared" si="83"/>
        <v>0.99999999931504679</v>
      </c>
      <c r="AB127" s="160">
        <f t="shared" si="84"/>
        <v>1.5377787671094618E-4</v>
      </c>
      <c r="AC127" s="171" t="str">
        <f t="shared" si="85"/>
        <v>81,8880956158738-56,5030506270129i</v>
      </c>
      <c r="AD127" s="190">
        <f t="shared" si="86"/>
        <v>39.955586350577313</v>
      </c>
      <c r="AE127" s="169">
        <f t="shared" si="87"/>
        <v>-34.605800998760948</v>
      </c>
      <c r="AF127" s="98" t="str">
        <f t="shared" si="72"/>
        <v>-0,0000375877424711299</v>
      </c>
      <c r="AG127" s="98" t="str">
        <f t="shared" si="73"/>
        <v>7,8304967512907E-07i</v>
      </c>
      <c r="AH127" s="98">
        <f t="shared" si="88"/>
        <v>7.8304967512906998E-7</v>
      </c>
      <c r="AI127" s="98">
        <f t="shared" si="89"/>
        <v>1.5707963267948966</v>
      </c>
      <c r="AJ127" s="98" t="str">
        <f t="shared" si="74"/>
        <v>1+0,00071424345884626i</v>
      </c>
      <c r="AK127" s="98">
        <f t="shared" si="90"/>
        <v>1.0000002550718268</v>
      </c>
      <c r="AL127" s="98">
        <f t="shared" si="91"/>
        <v>7.1424333739069246E-4</v>
      </c>
      <c r="AM127" s="98" t="str">
        <f t="shared" si="75"/>
        <v>1+0,0556560479854818i</v>
      </c>
      <c r="AN127" s="98">
        <f t="shared" si="92"/>
        <v>1.0015476003053285</v>
      </c>
      <c r="AO127" s="98">
        <f t="shared" si="93"/>
        <v>5.5598687910241099E-2</v>
      </c>
      <c r="AP127" s="168" t="str">
        <f t="shared" si="94"/>
        <v>-2,63730055898317+48,003618002619i</v>
      </c>
      <c r="AQ127" s="98">
        <f t="shared" si="95"/>
        <v>33.638568257956273</v>
      </c>
      <c r="AR127" s="169">
        <f t="shared" si="96"/>
        <v>93.144647034944015</v>
      </c>
      <c r="AS127" s="168" t="str">
        <f t="shared" si="97"/>
        <v>2496,38733793996+4079,94038790922i</v>
      </c>
      <c r="AT127" s="190">
        <f t="shared" si="98"/>
        <v>73.594154608533586</v>
      </c>
      <c r="AU127" s="169">
        <f t="shared" si="99"/>
        <v>58.538846036183045</v>
      </c>
      <c r="AV127" s="225"/>
      <c r="AX127">
        <f t="shared" si="100"/>
        <v>0</v>
      </c>
      <c r="AY127">
        <f t="shared" si="101"/>
        <v>0</v>
      </c>
    </row>
    <row r="128" spans="14:51" x14ac:dyDescent="0.25">
      <c r="N128" s="170">
        <v>10</v>
      </c>
      <c r="O128" s="199">
        <f t="shared" si="102"/>
        <v>125.89254117941677</v>
      </c>
      <c r="P128" s="189" t="str">
        <f t="shared" si="67"/>
        <v>120,833333333333</v>
      </c>
      <c r="Q128" s="160" t="str">
        <f t="shared" si="68"/>
        <v>1+0,705313830477963i</v>
      </c>
      <c r="R128" s="160">
        <f t="shared" si="77"/>
        <v>1.2237105864801108</v>
      </c>
      <c r="S128" s="160">
        <f t="shared" si="78"/>
        <v>0.61428339764007223</v>
      </c>
      <c r="T128" s="160" t="str">
        <f t="shared" si="69"/>
        <v>1+0,0000474603699013206i</v>
      </c>
      <c r="U128" s="160">
        <f t="shared" si="79"/>
        <v>1.0000000011262433</v>
      </c>
      <c r="V128" s="160">
        <f t="shared" si="80"/>
        <v>4.7460369865685987E-5</v>
      </c>
      <c r="W128" s="98" t="str">
        <f t="shared" si="70"/>
        <v>1-0,000406260766355305i</v>
      </c>
      <c r="X128" s="160">
        <f t="shared" si="81"/>
        <v>1.0000000825239017</v>
      </c>
      <c r="Y128" s="160">
        <f t="shared" si="82"/>
        <v>-4.0626074400449059E-4</v>
      </c>
      <c r="Z128" s="98" t="str">
        <f t="shared" si="71"/>
        <v>0,999999986901709+0,000157359822878143i</v>
      </c>
      <c r="AA128" s="160">
        <f t="shared" si="83"/>
        <v>0.99999999928276617</v>
      </c>
      <c r="AB128" s="160">
        <f t="shared" si="84"/>
        <v>1.5735982364043381E-4</v>
      </c>
      <c r="AC128" s="171" t="str">
        <f t="shared" si="85"/>
        <v>80,6624046508237-56,9546789595601i</v>
      </c>
      <c r="AD128" s="190">
        <f t="shared" si="86"/>
        <v>39.890161512726799</v>
      </c>
      <c r="AE128" s="169">
        <f t="shared" si="87"/>
        <v>-35.225419910618037</v>
      </c>
      <c r="AF128" s="98" t="str">
        <f t="shared" si="72"/>
        <v>-0,0000375877424711299</v>
      </c>
      <c r="AG128" s="98" t="str">
        <f t="shared" si="73"/>
        <v>8,01289245167299E-07i</v>
      </c>
      <c r="AH128" s="98">
        <f t="shared" si="88"/>
        <v>8.0128924516729897E-7</v>
      </c>
      <c r="AI128" s="98">
        <f t="shared" si="89"/>
        <v>1.5707963267948966</v>
      </c>
      <c r="AJ128" s="98" t="str">
        <f t="shared" si="74"/>
        <v>1+0,000730880326219745i</v>
      </c>
      <c r="AK128" s="98">
        <f t="shared" si="90"/>
        <v>1.0000002670929899</v>
      </c>
      <c r="AL128" s="98">
        <f t="shared" si="91"/>
        <v>7.308801960777615E-4</v>
      </c>
      <c r="AM128" s="98" t="str">
        <f t="shared" si="75"/>
        <v>1+0,0569524438815848i</v>
      </c>
      <c r="AN128" s="98">
        <f t="shared" si="92"/>
        <v>1.0016204774584458</v>
      </c>
      <c r="AO128" s="98">
        <f t="shared" si="93"/>
        <v>5.6890986822839433E-2</v>
      </c>
      <c r="AP128" s="168" t="str">
        <f t="shared" si="94"/>
        <v>-2,63730049557634+46,9110090067475i</v>
      </c>
      <c r="AQ128" s="98">
        <f t="shared" si="95"/>
        <v>33.439200155335797</v>
      </c>
      <c r="AR128" s="169">
        <f t="shared" si="96"/>
        <v>93.217737086718117</v>
      </c>
      <c r="AS128" s="168" t="str">
        <f t="shared" si="97"/>
        <v>2459,07045788834+3934,16139412614i</v>
      </c>
      <c r="AT128" s="190">
        <f t="shared" si="98"/>
        <v>73.329361668062603</v>
      </c>
      <c r="AU128" s="169">
        <f t="shared" si="99"/>
        <v>57.992317176100066</v>
      </c>
      <c r="AV128" s="225"/>
      <c r="AX128">
        <f t="shared" si="100"/>
        <v>0</v>
      </c>
      <c r="AY128">
        <f t="shared" si="101"/>
        <v>0</v>
      </c>
    </row>
    <row r="129" spans="14:51" x14ac:dyDescent="0.25">
      <c r="N129" s="170">
        <v>11</v>
      </c>
      <c r="O129" s="199">
        <f t="shared" si="102"/>
        <v>128.82495516931343</v>
      </c>
      <c r="P129" s="189" t="str">
        <f t="shared" si="67"/>
        <v>120,833333333333</v>
      </c>
      <c r="Q129" s="160" t="str">
        <f t="shared" si="68"/>
        <v>1+0,721742700086796i</v>
      </c>
      <c r="R129" s="160">
        <f t="shared" si="77"/>
        <v>1.2332528228747659</v>
      </c>
      <c r="S129" s="160">
        <f t="shared" si="78"/>
        <v>0.62516982616959538</v>
      </c>
      <c r="T129" s="160" t="str">
        <f t="shared" si="69"/>
        <v>1+0,0000485658639310738i</v>
      </c>
      <c r="U129" s="160">
        <f t="shared" si="79"/>
        <v>1.0000000011793215</v>
      </c>
      <c r="V129" s="160">
        <f t="shared" si="80"/>
        <v>4.8565863892890621E-5</v>
      </c>
      <c r="W129" s="98" t="str">
        <f t="shared" si="70"/>
        <v>1-0,000415723795249992i</v>
      </c>
      <c r="X129" s="160">
        <f t="shared" si="81"/>
        <v>1.0000000864131333</v>
      </c>
      <c r="Y129" s="160">
        <f t="shared" si="82"/>
        <v>-4.1572377130066299E-4</v>
      </c>
      <c r="Z129" s="98" t="str">
        <f t="shared" si="71"/>
        <v>0,999999986284406+0,000161025204017744i</v>
      </c>
      <c r="AA129" s="160">
        <f t="shared" si="83"/>
        <v>0.99999999924896432</v>
      </c>
      <c r="AB129" s="160">
        <f t="shared" si="84"/>
        <v>1.6102520483455323E-4</v>
      </c>
      <c r="AC129" s="171" t="str">
        <f t="shared" si="85"/>
        <v>79,4176272481922-57,3829148533304i</v>
      </c>
      <c r="AD129" s="190">
        <f t="shared" si="86"/>
        <v>39.822693526669411</v>
      </c>
      <c r="AE129" s="169">
        <f t="shared" si="87"/>
        <v>-35.84985518158674</v>
      </c>
      <c r="AF129" s="98" t="str">
        <f t="shared" si="72"/>
        <v>-0,0000375877424711299</v>
      </c>
      <c r="AG129" s="98" t="str">
        <f t="shared" si="73"/>
        <v>8,19953669369632E-07i</v>
      </c>
      <c r="AH129" s="98">
        <f t="shared" si="88"/>
        <v>8.19953669369632E-7</v>
      </c>
      <c r="AI129" s="98">
        <f t="shared" si="89"/>
        <v>1.5707963267948966</v>
      </c>
      <c r="AJ129" s="98" t="str">
        <f t="shared" si="74"/>
        <v>1+0,000747904716016537i</v>
      </c>
      <c r="AK129" s="98">
        <f t="shared" si="90"/>
        <v>1.000000279680693</v>
      </c>
      <c r="AL129" s="98">
        <f t="shared" si="91"/>
        <v>7.4790457656689153E-4</v>
      </c>
      <c r="AM129" s="98" t="str">
        <f t="shared" si="75"/>
        <v>1+0,0582790367172887i</v>
      </c>
      <c r="AN129" s="98">
        <f t="shared" si="92"/>
        <v>1.0016967835231851</v>
      </c>
      <c r="AO129" s="98">
        <f t="shared" si="93"/>
        <v>5.8213190315487294E-2</v>
      </c>
      <c r="AP129" s="168" t="str">
        <f t="shared" si="94"/>
        <v>-2,63730042918126+45,8432728487874i</v>
      </c>
      <c r="AQ129" s="98">
        <f t="shared" si="95"/>
        <v>33.239861734560954</v>
      </c>
      <c r="AR129" s="169">
        <f t="shared" si="96"/>
        <v>93.292518341353457</v>
      </c>
      <c r="AS129" s="168" t="str">
        <f t="shared" si="97"/>
        <v>2421,17248005375+3792,09994091253i</v>
      </c>
      <c r="AT129" s="190">
        <f t="shared" si="98"/>
        <v>73.062555261230372</v>
      </c>
      <c r="AU129" s="169">
        <f t="shared" si="99"/>
        <v>57.442663159766703</v>
      </c>
      <c r="AV129" s="225"/>
      <c r="AX129">
        <f t="shared" si="100"/>
        <v>0</v>
      </c>
      <c r="AY129">
        <f t="shared" si="101"/>
        <v>0</v>
      </c>
    </row>
    <row r="130" spans="14:51" x14ac:dyDescent="0.25">
      <c r="N130" s="170">
        <v>12</v>
      </c>
      <c r="O130" s="199">
        <f t="shared" si="102"/>
        <v>131.82567385564084</v>
      </c>
      <c r="P130" s="189" t="str">
        <f t="shared" si="67"/>
        <v>120,833333333333</v>
      </c>
      <c r="Q130" s="160" t="str">
        <f t="shared" si="68"/>
        <v>1+0,738554247228609i</v>
      </c>
      <c r="R130" s="160">
        <f t="shared" si="77"/>
        <v>1.2431662704961945</v>
      </c>
      <c r="S130" s="160">
        <f t="shared" si="78"/>
        <v>0.63613549308330442</v>
      </c>
      <c r="T130" s="160" t="str">
        <f t="shared" si="69"/>
        <v>1+0,0000496971082247286i</v>
      </c>
      <c r="U130" s="160">
        <f t="shared" si="79"/>
        <v>1.0000000012349013</v>
      </c>
      <c r="V130" s="160">
        <f t="shared" si="80"/>
        <v>4.9697108183814583E-5</v>
      </c>
      <c r="W130" s="98" t="str">
        <f t="shared" si="70"/>
        <v>1-0,000425407246403677i</v>
      </c>
      <c r="X130" s="160">
        <f t="shared" si="81"/>
        <v>1.0000000904856585</v>
      </c>
      <c r="Y130" s="160">
        <f t="shared" si="82"/>
        <v>-4.2540722074150877E-4</v>
      </c>
      <c r="Z130" s="98" t="str">
        <f t="shared" si="71"/>
        <v>0,99999998563801+0,000164775962851937i</v>
      </c>
      <c r="AA130" s="160">
        <f t="shared" si="83"/>
        <v>0.99999999921356908</v>
      </c>
      <c r="AB130" s="160">
        <f t="shared" si="84"/>
        <v>1.6477596372716386E-4</v>
      </c>
      <c r="AC130" s="171" t="str">
        <f t="shared" si="85"/>
        <v>78,1546640570614-57,7867678171473i</v>
      </c>
      <c r="AD130" s="190">
        <f t="shared" si="86"/>
        <v>39.75315155989334</v>
      </c>
      <c r="AE130" s="169">
        <f t="shared" si="87"/>
        <v>-36.4788465232036</v>
      </c>
      <c r="AF130" s="98" t="str">
        <f t="shared" si="72"/>
        <v>-0,0000375877424711299</v>
      </c>
      <c r="AG130" s="98" t="str">
        <f t="shared" si="73"/>
        <v>8,39052843860835E-07i</v>
      </c>
      <c r="AH130" s="98">
        <f t="shared" si="88"/>
        <v>8.3905284386083501E-7</v>
      </c>
      <c r="AI130" s="98">
        <f t="shared" si="89"/>
        <v>1.5707963267948966</v>
      </c>
      <c r="AJ130" s="98" t="str">
        <f t="shared" si="74"/>
        <v>1+0,00076532565479345i</v>
      </c>
      <c r="AK130" s="98">
        <f t="shared" si="90"/>
        <v>1.0000002928616361</v>
      </c>
      <c r="AL130" s="98">
        <f t="shared" si="91"/>
        <v>7.6532550537046506E-4</v>
      </c>
      <c r="AM130" s="98" t="str">
        <f t="shared" si="75"/>
        <v>1+0,0596365298696743i</v>
      </c>
      <c r="AN130" s="98">
        <f t="shared" si="92"/>
        <v>1.0017766795523324</v>
      </c>
      <c r="AO130" s="98">
        <f t="shared" si="93"/>
        <v>5.9565980935473065E-2</v>
      </c>
      <c r="AP130" s="168" t="str">
        <f t="shared" si="94"/>
        <v>-2,63730035965706+44,7998434008946i</v>
      </c>
      <c r="AQ130" s="98">
        <f t="shared" si="95"/>
        <v>33.040554385018105</v>
      </c>
      <c r="AR130" s="169">
        <f t="shared" si="96"/>
        <v>93.369029388747876</v>
      </c>
      <c r="AS130" s="168" t="str">
        <f t="shared" si="97"/>
        <v>2382,72082522549+3653,71777435346i</v>
      </c>
      <c r="AT130" s="190">
        <f t="shared" si="98"/>
        <v>72.793705944911437</v>
      </c>
      <c r="AU130" s="169">
        <f t="shared" si="99"/>
        <v>56.890182865544297</v>
      </c>
      <c r="AV130" s="225"/>
      <c r="AX130">
        <f t="shared" si="100"/>
        <v>0</v>
      </c>
      <c r="AY130">
        <f t="shared" si="101"/>
        <v>0</v>
      </c>
    </row>
    <row r="131" spans="14:51" x14ac:dyDescent="0.25">
      <c r="N131" s="170">
        <v>13</v>
      </c>
      <c r="O131" s="199">
        <f t="shared" si="102"/>
        <v>134.89628825916537</v>
      </c>
      <c r="P131" s="189" t="str">
        <f t="shared" si="67"/>
        <v>120,833333333333</v>
      </c>
      <c r="Q131" s="160" t="str">
        <f t="shared" si="68"/>
        <v>1+0,755757385608222i</v>
      </c>
      <c r="R131" s="160">
        <f t="shared" si="77"/>
        <v>1.2534628937074184</v>
      </c>
      <c r="S131" s="160">
        <f t="shared" si="78"/>
        <v>0.64717566419880945</v>
      </c>
      <c r="T131" s="160" t="str">
        <f t="shared" si="69"/>
        <v>1+0,0000508547025829829i</v>
      </c>
      <c r="U131" s="160">
        <f t="shared" si="79"/>
        <v>1.0000000012931003</v>
      </c>
      <c r="V131" s="160">
        <f t="shared" si="80"/>
        <v>5.0854702539142744E-5</v>
      </c>
      <c r="W131" s="98" t="str">
        <f t="shared" si="70"/>
        <v>1-0,000435316254110334i</v>
      </c>
      <c r="X131" s="160">
        <f t="shared" si="81"/>
        <v>1.000000094750116</v>
      </c>
      <c r="Y131" s="160">
        <f t="shared" si="82"/>
        <v>-4.3531622661282545E-4</v>
      </c>
      <c r="Z131" s="98" t="str">
        <f t="shared" si="71"/>
        <v>0,99999998496115+0,0001686140880827i</v>
      </c>
      <c r="AA131" s="160">
        <f t="shared" si="83"/>
        <v>0.99999999917650551</v>
      </c>
      <c r="AB131" s="160">
        <f t="shared" si="84"/>
        <v>1.6861408902052252E-4</v>
      </c>
      <c r="AC131" s="171" t="str">
        <f t="shared" si="85"/>
        <v>76,8744813227184-58,1652869974278i</v>
      </c>
      <c r="AD131" s="190">
        <f t="shared" si="86"/>
        <v>39.681506324032576</v>
      </c>
      <c r="AE131" s="169">
        <f t="shared" si="87"/>
        <v>-37.112123060549521</v>
      </c>
      <c r="AF131" s="98" t="str">
        <f t="shared" si="72"/>
        <v>-0,0000375877424711299</v>
      </c>
      <c r="AG131" s="98" t="str">
        <f t="shared" si="73"/>
        <v>8,5859689527603E-07i</v>
      </c>
      <c r="AH131" s="98">
        <f t="shared" si="88"/>
        <v>8.5859689527603002E-7</v>
      </c>
      <c r="AI131" s="98">
        <f t="shared" si="89"/>
        <v>1.5707963267948966</v>
      </c>
      <c r="AJ131" s="98" t="str">
        <f t="shared" si="74"/>
        <v>1+0,000783152379362816i</v>
      </c>
      <c r="AK131" s="98">
        <f t="shared" si="90"/>
        <v>1.0000003066637777</v>
      </c>
      <c r="AL131" s="98">
        <f t="shared" si="91"/>
        <v>7.8315221925320561E-4</v>
      </c>
      <c r="AM131" s="98" t="str">
        <f t="shared" si="75"/>
        <v>1+0,0610256430995796i</v>
      </c>
      <c r="AN131" s="98">
        <f t="shared" si="92"/>
        <v>1.0018603341363093</v>
      </c>
      <c r="AO131" s="98">
        <f t="shared" si="93"/>
        <v>6.0950056133778782E-2</v>
      </c>
      <c r="AP131" s="168" t="str">
        <f t="shared" si="94"/>
        <v>-2,6373002868563+43,7801674229639i</v>
      </c>
      <c r="AQ131" s="98">
        <f t="shared" si="95"/>
        <v>32.841279560663928</v>
      </c>
      <c r="AR131" s="169">
        <f t="shared" si="96"/>
        <v>93.447309660671465</v>
      </c>
      <c r="AS131" s="168" t="str">
        <f t="shared" si="97"/>
        <v>2343,7449113078+3518,97699094552i</v>
      </c>
      <c r="AT131" s="190">
        <f t="shared" si="98"/>
        <v>72.522785884696518</v>
      </c>
      <c r="AU131" s="169">
        <f t="shared" si="99"/>
        <v>56.335186600121965</v>
      </c>
      <c r="AV131" s="225"/>
      <c r="AX131">
        <f t="shared" si="100"/>
        <v>0</v>
      </c>
      <c r="AY131">
        <f t="shared" si="101"/>
        <v>0</v>
      </c>
    </row>
    <row r="132" spans="14:51" x14ac:dyDescent="0.25">
      <c r="N132" s="170">
        <v>14</v>
      </c>
      <c r="O132" s="199">
        <f t="shared" si="102"/>
        <v>138.0384264602886</v>
      </c>
      <c r="P132" s="189" t="str">
        <f t="shared" si="67"/>
        <v>120,833333333333</v>
      </c>
      <c r="Q132" s="160" t="str">
        <f t="shared" si="68"/>
        <v>1+0,773361236557318i</v>
      </c>
      <c r="R132" s="160">
        <f t="shared" si="77"/>
        <v>1.264154896446422</v>
      </c>
      <c r="S132" s="160">
        <f t="shared" si="78"/>
        <v>0.65828542845498761</v>
      </c>
      <c r="T132" s="160" t="str">
        <f t="shared" si="69"/>
        <v>1+0,0000520392607776884i</v>
      </c>
      <c r="U132" s="160">
        <f t="shared" si="79"/>
        <v>1.0000000013540422</v>
      </c>
      <c r="V132" s="160">
        <f t="shared" si="80"/>
        <v>5.2039260730712825E-5</v>
      </c>
      <c r="W132" s="98" t="str">
        <f t="shared" si="70"/>
        <v>1-0,000445456072257013i</v>
      </c>
      <c r="X132" s="160">
        <f t="shared" si="81"/>
        <v>1.0000000992155511</v>
      </c>
      <c r="Y132" s="160">
        <f t="shared" si="82"/>
        <v>-4.4545604279290187E-4</v>
      </c>
      <c r="Z132" s="98" t="str">
        <f t="shared" si="71"/>
        <v>0,999999984252391+0,000172541614734837i</v>
      </c>
      <c r="AA132" s="160">
        <f t="shared" si="83"/>
        <v>0.99999999913769555</v>
      </c>
      <c r="AB132" s="160">
        <f t="shared" si="84"/>
        <v>1.7254161573973189E-4</v>
      </c>
      <c r="AC132" s="171" t="str">
        <f t="shared" si="85"/>
        <v>75,5781087919661-58,5175663150386i</v>
      </c>
      <c r="AD132" s="190">
        <f t="shared" si="86"/>
        <v>39.607730181693121</v>
      </c>
      <c r="AE132" s="169">
        <f t="shared" si="87"/>
        <v>-37.749403793005932</v>
      </c>
      <c r="AF132" s="98" t="str">
        <f t="shared" si="72"/>
        <v>-0,0000375877424711299</v>
      </c>
      <c r="AG132" s="98" t="str">
        <f t="shared" si="73"/>
        <v>8,78596186129974E-07i</v>
      </c>
      <c r="AH132" s="98">
        <f t="shared" si="88"/>
        <v>8.78596186129974E-7</v>
      </c>
      <c r="AI132" s="98">
        <f t="shared" si="89"/>
        <v>1.5707963267948966</v>
      </c>
      <c r="AJ132" s="98" t="str">
        <f t="shared" si="74"/>
        <v>1+0,000801394341689969i</v>
      </c>
      <c r="AK132" s="98">
        <f t="shared" si="90"/>
        <v>1.0000003211163939</v>
      </c>
      <c r="AL132" s="98">
        <f t="shared" si="91"/>
        <v>8.0139417012943352E-4</v>
      </c>
      <c r="AM132" s="98" t="str">
        <f t="shared" si="75"/>
        <v>1+0,0624471129332262i</v>
      </c>
      <c r="AN132" s="98">
        <f t="shared" si="92"/>
        <v>1.001947923753373</v>
      </c>
      <c r="AO132" s="98">
        <f t="shared" si="93"/>
        <v>6.2366128542026417E-2</v>
      </c>
      <c r="AP132" s="168" t="str">
        <f t="shared" si="94"/>
        <v>-2,63730021062455+42,7837042692948i</v>
      </c>
      <c r="AQ132" s="98">
        <f t="shared" si="95"/>
        <v>32.6420387829817</v>
      </c>
      <c r="AR132" s="169">
        <f t="shared" si="96"/>
        <v>93.52739944635367</v>
      </c>
      <c r="AS132" s="168" t="str">
        <f t="shared" si="97"/>
        <v>2304,2760895458+3387,83984575595i</v>
      </c>
      <c r="AT132" s="190">
        <f t="shared" si="98"/>
        <v>72.249768964674814</v>
      </c>
      <c r="AU132" s="169">
        <f t="shared" si="99"/>
        <v>55.777995653347723</v>
      </c>
      <c r="AV132" s="225"/>
      <c r="AX132">
        <f t="shared" si="100"/>
        <v>0</v>
      </c>
      <c r="AY132">
        <f t="shared" si="101"/>
        <v>0</v>
      </c>
    </row>
    <row r="133" spans="14:51" x14ac:dyDescent="0.25">
      <c r="N133" s="170">
        <v>15</v>
      </c>
      <c r="O133" s="199">
        <f t="shared" si="102"/>
        <v>141.25375446227542</v>
      </c>
      <c r="P133" s="189" t="str">
        <f t="shared" si="67"/>
        <v>120,833333333333</v>
      </c>
      <c r="Q133" s="160" t="str">
        <f t="shared" si="68"/>
        <v>1+0,791375133870681i</v>
      </c>
      <c r="R133" s="160">
        <f t="shared" si="77"/>
        <v>1.2752547206377391</v>
      </c>
      <c r="S133" s="160">
        <f t="shared" si="78"/>
        <v>0.66945970691836365</v>
      </c>
      <c r="T133" s="160" t="str">
        <f t="shared" si="69"/>
        <v>1+0,0000532514108772792i</v>
      </c>
      <c r="U133" s="160">
        <f t="shared" si="79"/>
        <v>1.0000000014178563</v>
      </c>
      <c r="V133" s="160">
        <f t="shared" si="80"/>
        <v>5.3251410826943966E-5</v>
      </c>
      <c r="W133" s="98" t="str">
        <f t="shared" si="70"/>
        <v>1-0,00045583207710951i</v>
      </c>
      <c r="X133" s="160">
        <f t="shared" si="81"/>
        <v>1.0000001038914359</v>
      </c>
      <c r="Y133" s="160">
        <f t="shared" si="82"/>
        <v>-4.5583204553814632E-4</v>
      </c>
      <c r="Z133" s="98" t="str">
        <f t="shared" si="71"/>
        <v>0,999999983510229+0,000176560625234965i</v>
      </c>
      <c r="AA133" s="160">
        <f t="shared" si="83"/>
        <v>0.99999999909705639</v>
      </c>
      <c r="AB133" s="160">
        <f t="shared" si="84"/>
        <v>1.7656062631172929E-4</v>
      </c>
      <c r="AC133" s="171" t="str">
        <f t="shared" si="85"/>
        <v>74,2666371493197-58,8427494887293i</v>
      </c>
      <c r="AD133" s="190">
        <f t="shared" si="86"/>
        <v>39.531797249426781</v>
      </c>
      <c r="AE133" s="169">
        <f t="shared" si="87"/>
        <v>-38.390398110485812</v>
      </c>
      <c r="AF133" s="98" t="str">
        <f t="shared" si="72"/>
        <v>-0,0000375877424711299</v>
      </c>
      <c r="AG133" s="98" t="str">
        <f t="shared" si="73"/>
        <v>8,99061320311399E-07i</v>
      </c>
      <c r="AH133" s="98">
        <f t="shared" si="88"/>
        <v>8.9906132031139904E-7</v>
      </c>
      <c r="AI133" s="98">
        <f t="shared" si="89"/>
        <v>1.5707963267948966</v>
      </c>
      <c r="AJ133" s="98" t="str">
        <f t="shared" si="74"/>
        <v>1+0,000820061213904793i</v>
      </c>
      <c r="AK133" s="98">
        <f t="shared" si="90"/>
        <v>1.0000003362501406</v>
      </c>
      <c r="AL133" s="98">
        <f t="shared" si="91"/>
        <v>8.2006103007437059E-4</v>
      </c>
      <c r="AM133" s="98" t="str">
        <f t="shared" si="75"/>
        <v>1+0,0639016930527351i</v>
      </c>
      <c r="AN133" s="98">
        <f t="shared" si="92"/>
        <v>1.0020396331358385</v>
      </c>
      <c r="AO133" s="98">
        <f t="shared" si="93"/>
        <v>6.3814926250968781E-2</v>
      </c>
      <c r="AP133" s="168" t="str">
        <f t="shared" si="94"/>
        <v>-2,63730013080011+41,8099256019324i</v>
      </c>
      <c r="AQ133" s="98">
        <f t="shared" si="95"/>
        <v>32.442833644068102</v>
      </c>
      <c r="AR133" s="169">
        <f t="shared" si="96"/>
        <v>93.609339908152705</v>
      </c>
      <c r="AS133" s="168" t="str">
        <f t="shared" si="97"/>
        <v>2264,34756646893+3260,26856484203i</v>
      </c>
      <c r="AT133" s="190">
        <f t="shared" si="98"/>
        <v>71.97463089349489</v>
      </c>
      <c r="AU133" s="169">
        <f t="shared" si="99"/>
        <v>55.218941797666936</v>
      </c>
      <c r="AV133" s="225"/>
      <c r="AX133">
        <f t="shared" si="100"/>
        <v>0</v>
      </c>
      <c r="AY133">
        <f t="shared" si="101"/>
        <v>0</v>
      </c>
    </row>
    <row r="134" spans="14:51" x14ac:dyDescent="0.25">
      <c r="N134" s="170">
        <v>16</v>
      </c>
      <c r="O134" s="199">
        <f t="shared" si="102"/>
        <v>144.54397707459285</v>
      </c>
      <c r="P134" s="189" t="str">
        <f t="shared" si="67"/>
        <v>120,833333333333</v>
      </c>
      <c r="Q134" s="160" t="str">
        <f t="shared" si="68"/>
        <v>1+0,809808628755113i</v>
      </c>
      <c r="R134" s="160">
        <f t="shared" si="77"/>
        <v>1.2867750445226378</v>
      </c>
      <c r="S134" s="160">
        <f t="shared" si="78"/>
        <v>0.68069326273139952</v>
      </c>
      <c r="T134" s="160" t="str">
        <f t="shared" si="69"/>
        <v>1+0,000054491795579783i</v>
      </c>
      <c r="U134" s="160">
        <f t="shared" si="79"/>
        <v>1.0000000014846779</v>
      </c>
      <c r="V134" s="160">
        <f t="shared" si="80"/>
        <v>5.4491795525847824E-5</v>
      </c>
      <c r="W134" s="98" t="str">
        <f t="shared" si="70"/>
        <v>1-0,000466449770162943i</v>
      </c>
      <c r="X134" s="160">
        <f t="shared" si="81"/>
        <v>1.0000001087876882</v>
      </c>
      <c r="Y134" s="160">
        <f t="shared" si="82"/>
        <v>-4.6644973633361747E-4</v>
      </c>
      <c r="Z134" s="98" t="str">
        <f t="shared" si="71"/>
        <v>0,99999998273309+0,000180673250515648i</v>
      </c>
      <c r="AA134" s="160">
        <f t="shared" si="83"/>
        <v>0.99999999905450188</v>
      </c>
      <c r="AB134" s="160">
        <f t="shared" si="84"/>
        <v>1.8067325166942175E-4</v>
      </c>
      <c r="AC134" s="171" t="str">
        <f t="shared" si="85"/>
        <v>72,9412149891916-59,140034896326i</v>
      </c>
      <c r="AD134" s="190">
        <f t="shared" si="86"/>
        <v>39.453683496079073</v>
      </c>
      <c r="AE134" s="169">
        <f t="shared" si="87"/>
        <v>-39.034806363635617</v>
      </c>
      <c r="AF134" s="98" t="str">
        <f t="shared" si="72"/>
        <v>-0,0000375877424711299</v>
      </c>
      <c r="AG134" s="98" t="str">
        <f t="shared" si="73"/>
        <v>9,20003148705338E-07i</v>
      </c>
      <c r="AH134" s="98">
        <f t="shared" si="88"/>
        <v>9.2000314870533796E-7</v>
      </c>
      <c r="AI134" s="98">
        <f t="shared" si="89"/>
        <v>1.5707963267948966</v>
      </c>
      <c r="AJ134" s="98" t="str">
        <f t="shared" si="74"/>
        <v>1+0,000839162893430024i</v>
      </c>
      <c r="AK134" s="98">
        <f t="shared" si="90"/>
        <v>1.0000003520971188</v>
      </c>
      <c r="AL134" s="98">
        <f t="shared" si="91"/>
        <v>8.3916269645218126E-4</v>
      </c>
      <c r="AM134" s="98" t="str">
        <f t="shared" si="75"/>
        <v>1+0,0653901546957397i</v>
      </c>
      <c r="AN134" s="98">
        <f t="shared" si="92"/>
        <v>1.0021356556530321</v>
      </c>
      <c r="AO134" s="98">
        <f t="shared" si="93"/>
        <v>6.5297193090224789E-2</v>
      </c>
      <c r="AP134" s="168" t="str">
        <f t="shared" si="94"/>
        <v>-2,63730004721366+40,858315110538i</v>
      </c>
      <c r="AQ134" s="98">
        <f t="shared" si="95"/>
        <v>32.24366580985722</v>
      </c>
      <c r="AR134" s="169">
        <f t="shared" si="96"/>
        <v>93.693173097289133</v>
      </c>
      <c r="AS134" s="168" t="str">
        <f t="shared" si="97"/>
        <v>2223,99431170748+3136,22516339819i</v>
      </c>
      <c r="AT134" s="190">
        <f t="shared" si="98"/>
        <v>71.697349305936285</v>
      </c>
      <c r="AU134" s="169">
        <f t="shared" si="99"/>
        <v>54.658366733653615</v>
      </c>
      <c r="AV134" s="225"/>
      <c r="AX134">
        <f t="shared" si="100"/>
        <v>0</v>
      </c>
      <c r="AY134">
        <f t="shared" si="101"/>
        <v>0</v>
      </c>
    </row>
    <row r="135" spans="14:51" x14ac:dyDescent="0.25">
      <c r="N135" s="170">
        <v>17</v>
      </c>
      <c r="O135" s="199">
        <f t="shared" si="102"/>
        <v>147.91083881682084</v>
      </c>
      <c r="P135" s="189" t="str">
        <f t="shared" si="67"/>
        <v>120,833333333333</v>
      </c>
      <c r="Q135" s="160" t="str">
        <f t="shared" si="68"/>
        <v>1+0,828671494893593i</v>
      </c>
      <c r="R135" s="160">
        <f t="shared" si="77"/>
        <v>1.2987287809428041</v>
      </c>
      <c r="S135" s="160">
        <f t="shared" si="78"/>
        <v>0.69198071196710009</v>
      </c>
      <c r="T135" s="160" t="str">
        <f t="shared" si="69"/>
        <v>1+0,0000557610725535873i</v>
      </c>
      <c r="U135" s="160">
        <f t="shared" si="79"/>
        <v>1.0000000015546486</v>
      </c>
      <c r="V135" s="160">
        <f t="shared" si="80"/>
        <v>5.5761072495794717E-5</v>
      </c>
      <c r="W135" s="98" t="str">
        <f t="shared" si="70"/>
        <v>1-0,000477314781058708i</v>
      </c>
      <c r="X135" s="160">
        <f t="shared" si="81"/>
        <v>1.0000001139146937</v>
      </c>
      <c r="Y135" s="160">
        <f t="shared" si="82"/>
        <v>-4.7731474480993286E-4</v>
      </c>
      <c r="Z135" s="98" t="str">
        <f t="shared" si="71"/>
        <v>0,999999981919325+0,000184881671145248i</v>
      </c>
      <c r="AA135" s="160">
        <f t="shared" si="83"/>
        <v>0.99999999900994141</v>
      </c>
      <c r="AB135" s="160">
        <f t="shared" si="84"/>
        <v>1.8488167238153895E-4</v>
      </c>
      <c r="AC135" s="171" t="str">
        <f t="shared" si="85"/>
        <v>71,6030453349032-59,408680224801i</v>
      </c>
      <c r="AD135" s="190">
        <f t="shared" si="86"/>
        <v>39.373366835752961</v>
      </c>
      <c r="AE135" s="169">
        <f t="shared" si="87"/>
        <v>-39.682320485971282</v>
      </c>
      <c r="AF135" s="98" t="str">
        <f t="shared" si="72"/>
        <v>-0,0000375877424711299</v>
      </c>
      <c r="AG135" s="98" t="str">
        <f t="shared" si="73"/>
        <v>9,41432774946401E-07i</v>
      </c>
      <c r="AH135" s="98">
        <f t="shared" si="88"/>
        <v>9.4143277494640101E-7</v>
      </c>
      <c r="AI135" s="98">
        <f t="shared" si="89"/>
        <v>1.5707963267948966</v>
      </c>
      <c r="AJ135" s="98" t="str">
        <f t="shared" si="74"/>
        <v>1+0,000858709508228985i</v>
      </c>
      <c r="AK135" s="98">
        <f t="shared" si="90"/>
        <v>1.0000003686909418</v>
      </c>
      <c r="AL135" s="98">
        <f t="shared" si="91"/>
        <v>8.5870929716342791E-4</v>
      </c>
      <c r="AM135" s="98" t="str">
        <f t="shared" si="75"/>
        <v>1+0,0669132870643049i</v>
      </c>
      <c r="AN135" s="98">
        <f t="shared" si="92"/>
        <v>1.0022361937117168</v>
      </c>
      <c r="AO135" s="98">
        <f t="shared" si="93"/>
        <v>6.6813688908925542E-2</v>
      </c>
      <c r="AP135" s="168" t="str">
        <f t="shared" si="94"/>
        <v>-2,63729995968792+39,9283682386321i</v>
      </c>
      <c r="AQ135" s="98">
        <f t="shared" si="95"/>
        <v>32.044537023485582</v>
      </c>
      <c r="AR135" s="169">
        <f t="shared" si="96"/>
        <v>93.778941969625365</v>
      </c>
      <c r="AS135" s="168" t="str">
        <f t="shared" si="97"/>
        <v>2183,25295201172+3015,67127110146i</v>
      </c>
      <c r="AT135" s="190">
        <f t="shared" si="98"/>
        <v>71.417903859238535</v>
      </c>
      <c r="AU135" s="169">
        <f t="shared" si="99"/>
        <v>54.09662148365409</v>
      </c>
      <c r="AV135" s="225"/>
      <c r="AX135">
        <f t="shared" si="100"/>
        <v>0</v>
      </c>
      <c r="AY135">
        <f t="shared" si="101"/>
        <v>0</v>
      </c>
    </row>
    <row r="136" spans="14:51" x14ac:dyDescent="0.25">
      <c r="N136" s="170">
        <v>18</v>
      </c>
      <c r="O136" s="199">
        <f t="shared" si="102"/>
        <v>151.3561248436209</v>
      </c>
      <c r="P136" s="189" t="str">
        <f t="shared" si="67"/>
        <v>120,833333333333</v>
      </c>
      <c r="Q136" s="160" t="str">
        <f t="shared" si="68"/>
        <v>1+0,847973733627431i</v>
      </c>
      <c r="R136" s="160">
        <f t="shared" si="77"/>
        <v>1.311129075614619</v>
      </c>
      <c r="S136" s="160">
        <f t="shared" si="78"/>
        <v>0.70331653534516592</v>
      </c>
      <c r="T136" s="160" t="str">
        <f t="shared" si="69"/>
        <v>1+0,0000570599147861446i</v>
      </c>
      <c r="U136" s="160">
        <f t="shared" si="79"/>
        <v>1.0000000016279169</v>
      </c>
      <c r="V136" s="160">
        <f t="shared" si="80"/>
        <v>5.705991472421873E-5</v>
      </c>
      <c r="W136" s="98" t="str">
        <f t="shared" si="70"/>
        <v>1-0,000488432870569398i</v>
      </c>
      <c r="X136" s="160">
        <f t="shared" si="81"/>
        <v>1.0000001192833274</v>
      </c>
      <c r="Y136" s="160">
        <f t="shared" si="82"/>
        <v>-4.8843283172813592E-4</v>
      </c>
      <c r="Z136" s="98" t="str">
        <f t="shared" si="71"/>
        <v>0,999999981067209+0,000189188118484087i</v>
      </c>
      <c r="AA136" s="160">
        <f t="shared" si="83"/>
        <v>0.99999999896328129</v>
      </c>
      <c r="AB136" s="160">
        <f t="shared" si="84"/>
        <v>1.8918811980879664E-4</v>
      </c>
      <c r="AC136" s="171" t="str">
        <f t="shared" si="85"/>
        <v>70,2533817211507-59,6480068609836i</v>
      </c>
      <c r="AD136" s="190">
        <f t="shared" si="86"/>
        <v>39.290827214651642</v>
      </c>
      <c r="AE136" s="169">
        <f t="shared" si="87"/>
        <v>-40.332624665381203</v>
      </c>
      <c r="AF136" s="98" t="str">
        <f t="shared" si="72"/>
        <v>-0,0000375877424711299</v>
      </c>
      <c r="AG136" s="98" t="str">
        <f t="shared" si="73"/>
        <v>9,63361561306076E-07i</v>
      </c>
      <c r="AH136" s="98">
        <f t="shared" si="88"/>
        <v>9.6336156130607595E-7</v>
      </c>
      <c r="AI136" s="98">
        <f t="shared" si="89"/>
        <v>1.5707963267948966</v>
      </c>
      <c r="AJ136" s="98" t="str">
        <f t="shared" si="74"/>
        <v>1+0,000878711422175572i</v>
      </c>
      <c r="AK136" s="98">
        <f t="shared" si="90"/>
        <v>1.0000003860668072</v>
      </c>
      <c r="AL136" s="98">
        <f t="shared" si="91"/>
        <v>8.787111960147576E-4</v>
      </c>
      <c r="AM136" s="98" t="str">
        <f t="shared" si="75"/>
        <v>1+0,0684718977433736i</v>
      </c>
      <c r="AN136" s="98">
        <f t="shared" si="92"/>
        <v>1.0023414591747559</v>
      </c>
      <c r="AO136" s="98">
        <f t="shared" si="93"/>
        <v>6.8365189856913339E-2</v>
      </c>
      <c r="AP136" s="168" t="str">
        <f t="shared" si="94"/>
        <v>-2,63729986803721+39,0195919160741i</v>
      </c>
      <c r="AQ136" s="98">
        <f t="shared" si="95"/>
        <v>31.845449108805902</v>
      </c>
      <c r="AR136" s="169">
        <f t="shared" si="96"/>
        <v>93.866690401469143</v>
      </c>
      <c r="AS136" s="168" t="str">
        <f t="shared" si="97"/>
        <v>2142,16165198041+2898,56796610663i</v>
      </c>
      <c r="AT136" s="190">
        <f t="shared" si="98"/>
        <v>71.136276323457537</v>
      </c>
      <c r="AU136" s="169">
        <f t="shared" si="99"/>
        <v>53.534065736087904</v>
      </c>
      <c r="AV136" s="225"/>
      <c r="AX136">
        <f t="shared" si="100"/>
        <v>0</v>
      </c>
      <c r="AY136">
        <f t="shared" si="101"/>
        <v>0</v>
      </c>
    </row>
    <row r="137" spans="14:51" x14ac:dyDescent="0.25">
      <c r="N137" s="170">
        <v>19</v>
      </c>
      <c r="O137" s="199">
        <f t="shared" si="102"/>
        <v>154.8816618912482</v>
      </c>
      <c r="P137" s="189" t="str">
        <f t="shared" si="67"/>
        <v>120,833333333333</v>
      </c>
      <c r="Q137" s="160" t="str">
        <f t="shared" si="68"/>
        <v>1+0,867725579259096i</v>
      </c>
      <c r="R137" s="160">
        <f t="shared" si="77"/>
        <v>1.3239893054328398</v>
      </c>
      <c r="S137" s="160">
        <f t="shared" si="78"/>
        <v>0.71469509075578175</v>
      </c>
      <c r="T137" s="160" t="str">
        <f t="shared" si="69"/>
        <v>1+0,0000583890109407987i</v>
      </c>
      <c r="U137" s="160">
        <f t="shared" si="79"/>
        <v>1.0000000017046382</v>
      </c>
      <c r="V137" s="160">
        <f t="shared" si="80"/>
        <v>5.8389010874443937E-5</v>
      </c>
      <c r="W137" s="98" t="str">
        <f t="shared" si="70"/>
        <v>1-0,000499809933653237i</v>
      </c>
      <c r="X137" s="160">
        <f t="shared" si="81"/>
        <v>1.000000124904977</v>
      </c>
      <c r="Y137" s="160">
        <f t="shared" si="82"/>
        <v>-4.9980989203407512E-4</v>
      </c>
      <c r="Z137" s="98" t="str">
        <f t="shared" si="71"/>
        <v>0,999999980174935+0,000193594875867547i</v>
      </c>
      <c r="AA137" s="160">
        <f t="shared" si="83"/>
        <v>0.99999999891442326</v>
      </c>
      <c r="AB137" s="160">
        <f t="shared" si="84"/>
        <v>1.9359487728699875E-4</v>
      </c>
      <c r="AC137" s="171" t="str">
        <f t="shared" si="85"/>
        <v>68,8935238623382-59,8574039761014i</v>
      </c>
      <c r="AD137" s="190">
        <f t="shared" si="86"/>
        <v>39.206046691095473</v>
      </c>
      <c r="AE137" s="169">
        <f t="shared" si="87"/>
        <v>-40.985396061908943</v>
      </c>
      <c r="AF137" s="98" t="str">
        <f t="shared" si="72"/>
        <v>-0,0000375877424711299</v>
      </c>
      <c r="AG137" s="98" t="str">
        <f t="shared" si="73"/>
        <v>9,85801134717154E-07i</v>
      </c>
      <c r="AH137" s="98">
        <f t="shared" si="88"/>
        <v>9.8580113471715403E-7</v>
      </c>
      <c r="AI137" s="98">
        <f t="shared" si="89"/>
        <v>1.5707963267948966</v>
      </c>
      <c r="AJ137" s="98" t="str">
        <f t="shared" si="74"/>
        <v>1+0,000899179240549318i</v>
      </c>
      <c r="AK137" s="98">
        <f t="shared" si="90"/>
        <v>1.0000004042615716</v>
      </c>
      <c r="AL137" s="98">
        <f t="shared" si="91"/>
        <v>8.9917899821364471E-4</v>
      </c>
      <c r="AM137" s="98" t="str">
        <f t="shared" si="75"/>
        <v>1+0,0700668131289585i</v>
      </c>
      <c r="AN137" s="98">
        <f t="shared" si="92"/>
        <v>1.0024516737988163</v>
      </c>
      <c r="AO137" s="98">
        <f t="shared" si="93"/>
        <v>6.9952488666093979E-2</v>
      </c>
      <c r="AP137" s="168" t="str">
        <f t="shared" si="94"/>
        <v>-2,63729977206715+38,1315042976273i</v>
      </c>
      <c r="AQ137" s="98">
        <f t="shared" si="95"/>
        <v>31.646403974053463</v>
      </c>
      <c r="AR137" s="169">
        <f t="shared" si="96"/>
        <v>93.956463205379464</v>
      </c>
      <c r="AS137" s="168" t="str">
        <f t="shared" si="97"/>
        <v>2100,75998218048+2784,87561909814i</v>
      </c>
      <c r="AT137" s="190">
        <f t="shared" si="98"/>
        <v>70.852450665148936</v>
      </c>
      <c r="AU137" s="169">
        <f t="shared" si="99"/>
        <v>52.971067143470457</v>
      </c>
      <c r="AV137" s="225"/>
      <c r="AX137">
        <f t="shared" si="100"/>
        <v>0</v>
      </c>
      <c r="AY137">
        <f t="shared" si="101"/>
        <v>0</v>
      </c>
    </row>
    <row r="138" spans="14:51" x14ac:dyDescent="0.25">
      <c r="N138" s="170">
        <v>20</v>
      </c>
      <c r="O138" s="199">
        <f t="shared" si="102"/>
        <v>158.48931924611153</v>
      </c>
      <c r="P138" s="189" t="str">
        <f t="shared" si="67"/>
        <v>120,833333333333</v>
      </c>
      <c r="Q138" s="160" t="str">
        <f t="shared" si="68"/>
        <v>1+0,887937504478592i</v>
      </c>
      <c r="R138" s="160">
        <f t="shared" si="77"/>
        <v>1.3373230768440623</v>
      </c>
      <c r="S138" s="160">
        <f t="shared" si="78"/>
        <v>0.7261106265284859</v>
      </c>
      <c r="T138" s="160" t="str">
        <f t="shared" si="69"/>
        <v>1+0,0000597490657219237i</v>
      </c>
      <c r="U138" s="160">
        <f t="shared" si="79"/>
        <v>1.0000000017849753</v>
      </c>
      <c r="V138" s="160">
        <f t="shared" si="80"/>
        <v>5.9749065650823292E-5</v>
      </c>
      <c r="W138" s="98" t="str">
        <f t="shared" si="70"/>
        <v>1-0,000511452002579667i</v>
      </c>
      <c r="X138" s="160">
        <f t="shared" si="81"/>
        <v>1.0000001307915669</v>
      </c>
      <c r="Y138" s="160">
        <f t="shared" si="82"/>
        <v>-5.1145195798393188E-4</v>
      </c>
      <c r="Z138" s="98" t="str">
        <f t="shared" si="71"/>
        <v>0,999999979240608+0,000198104279816723i</v>
      </c>
      <c r="AA138" s="160">
        <f t="shared" si="83"/>
        <v>0.99999999886326107</v>
      </c>
      <c r="AB138" s="160">
        <f t="shared" si="84"/>
        <v>1.9810428133769302E-4</v>
      </c>
      <c r="AC138" s="171" t="str">
        <f t="shared" si="85"/>
        <v>67,5248129348577-60,0363322595531i</v>
      </c>
      <c r="AD138" s="190">
        <f t="shared" si="86"/>
        <v>39.119009508051583</v>
      </c>
      <c r="AE138" s="169">
        <f t="shared" si="87"/>
        <v>-41.640305568230858</v>
      </c>
      <c r="AF138" s="98" t="str">
        <f t="shared" si="72"/>
        <v>-0,0000375877424711299</v>
      </c>
      <c r="AG138" s="98" t="str">
        <f t="shared" si="73"/>
        <v>1,00876339293848E-06i</v>
      </c>
      <c r="AH138" s="98">
        <f t="shared" si="88"/>
        <v>1.0087633929384801E-6</v>
      </c>
      <c r="AI138" s="98">
        <f t="shared" si="89"/>
        <v>1.5707963267948966</v>
      </c>
      <c r="AJ138" s="98" t="str">
        <f t="shared" si="74"/>
        <v>1+0,000920123815658449i</v>
      </c>
      <c r="AK138" s="98">
        <f t="shared" si="90"/>
        <v>1.0000004233138284</v>
      </c>
      <c r="AL138" s="98">
        <f t="shared" si="91"/>
        <v>9.2012355599110256E-4</v>
      </c>
      <c r="AM138" s="98" t="str">
        <f t="shared" si="75"/>
        <v>1+0,0716988788663085i</v>
      </c>
      <c r="AN138" s="98">
        <f t="shared" si="92"/>
        <v>1.0025670696919411</v>
      </c>
      <c r="AO138" s="98">
        <f t="shared" si="93"/>
        <v>7.1576394931512494E-2</v>
      </c>
      <c r="AP138" s="168" t="str">
        <f t="shared" si="94"/>
        <v>-2,63729967157417+37,2636345074812i</v>
      </c>
      <c r="AQ138" s="98">
        <f t="shared" si="95"/>
        <v>31.447403615673487</v>
      </c>
      <c r="AR138" s="169">
        <f t="shared" si="96"/>
        <v>94.048306145948374</v>
      </c>
      <c r="AS138" s="168" t="str">
        <f t="shared" si="97"/>
        <v>2059,08877551348+2674,55374874121i</v>
      </c>
      <c r="AT138" s="190">
        <f t="shared" si="98"/>
        <v>70.566413123725056</v>
      </c>
      <c r="AU138" s="169">
        <f t="shared" si="99"/>
        <v>52.408000577717516</v>
      </c>
      <c r="AV138" s="225"/>
      <c r="AX138">
        <f t="shared" si="100"/>
        <v>0</v>
      </c>
      <c r="AY138">
        <f t="shared" si="101"/>
        <v>0</v>
      </c>
    </row>
    <row r="139" spans="14:51" x14ac:dyDescent="0.25">
      <c r="N139" s="170">
        <v>21</v>
      </c>
      <c r="O139" s="199">
        <f t="shared" si="102"/>
        <v>162.18100973589304</v>
      </c>
      <c r="P139" s="189" t="str">
        <f t="shared" si="67"/>
        <v>120,833333333333</v>
      </c>
      <c r="Q139" s="160" t="str">
        <f t="shared" si="68"/>
        <v>1+0,908620225916201i</v>
      </c>
      <c r="R139" s="160">
        <f t="shared" si="77"/>
        <v>1.3511442243313658</v>
      </c>
      <c r="S139" s="160">
        <f t="shared" si="78"/>
        <v>0.73755729537527726</v>
      </c>
      <c r="T139" s="160" t="str">
        <f t="shared" si="69"/>
        <v>1+0,0000611408002485665i</v>
      </c>
      <c r="U139" s="160">
        <f t="shared" si="79"/>
        <v>1.0000000018690987</v>
      </c>
      <c r="V139" s="160">
        <f t="shared" si="80"/>
        <v>6.1140800172381033E-5</v>
      </c>
      <c r="W139" s="98" t="str">
        <f t="shared" si="70"/>
        <v>1-0,000523365250127729i</v>
      </c>
      <c r="X139" s="160">
        <f t="shared" si="81"/>
        <v>1.0000001369555831</v>
      </c>
      <c r="Y139" s="160">
        <f t="shared" si="82"/>
        <v>-5.2336520234253826E-4</v>
      </c>
      <c r="Z139" s="98" t="str">
        <f t="shared" si="71"/>
        <v>0,999999978262248+0,000202718721277278i</v>
      </c>
      <c r="AA139" s="160">
        <f t="shared" si="83"/>
        <v>0.99999999880968815</v>
      </c>
      <c r="AB139" s="160">
        <f t="shared" si="84"/>
        <v>2.0271872290702678E-4</v>
      </c>
      <c r="AC139" s="171" t="str">
        <f t="shared" si="85"/>
        <v>66,1486265067903-60,1843272602552i</v>
      </c>
      <c r="AD139" s="190">
        <f t="shared" si="86"/>
        <v>39.029702157563179</v>
      </c>
      <c r="AE139" s="169">
        <f t="shared" si="87"/>
        <v>-42.297018608770351</v>
      </c>
      <c r="AF139" s="98" t="str">
        <f t="shared" si="72"/>
        <v>-0,0000375877424711299</v>
      </c>
      <c r="AG139" s="98" t="str">
        <f t="shared" si="73"/>
        <v>0,0000010322605108633i</v>
      </c>
      <c r="AH139" s="98">
        <f t="shared" si="88"/>
        <v>1.0322605108633E-6</v>
      </c>
      <c r="AI139" s="98">
        <f t="shared" si="89"/>
        <v>1.5707963267948966</v>
      </c>
      <c r="AJ139" s="98" t="str">
        <f t="shared" si="74"/>
        <v>1+0,000941556252593916i</v>
      </c>
      <c r="AK139" s="98">
        <f t="shared" si="90"/>
        <v>1.0000004432639902</v>
      </c>
      <c r="AL139" s="98">
        <f t="shared" si="91"/>
        <v>9.4155597435534798E-4</v>
      </c>
      <c r="AM139" s="98" t="str">
        <f t="shared" si="75"/>
        <v>1+0,0733689602982799i</v>
      </c>
      <c r="AN139" s="98">
        <f t="shared" si="92"/>
        <v>1.0026878897918587</v>
      </c>
      <c r="AO139" s="98">
        <f t="shared" si="93"/>
        <v>7.3237735391679257E-2</v>
      </c>
      <c r="AP139" s="168" t="str">
        <f t="shared" si="94"/>
        <v>-2,63729956634511+36,415522389585i</v>
      </c>
      <c r="AQ139" s="98">
        <f t="shared" si="95"/>
        <v>31.24845012231361</v>
      </c>
      <c r="AR139" s="169">
        <f t="shared" si="96"/>
        <v>94.142265955533219</v>
      </c>
      <c r="AS139" s="168" t="str">
        <f t="shared" si="97"/>
        <v>2017,18997284725+2567,56088978256i</v>
      </c>
      <c r="AT139" s="190">
        <f t="shared" si="98"/>
        <v>70.278152279876792</v>
      </c>
      <c r="AU139" s="169">
        <f t="shared" si="99"/>
        <v>51.845247346762889</v>
      </c>
      <c r="AV139" s="225"/>
      <c r="AX139">
        <f t="shared" si="100"/>
        <v>0</v>
      </c>
      <c r="AY139">
        <f t="shared" si="101"/>
        <v>0</v>
      </c>
    </row>
    <row r="140" spans="14:51" x14ac:dyDescent="0.25">
      <c r="N140" s="170">
        <v>22</v>
      </c>
      <c r="O140" s="199">
        <f t="shared" si="102"/>
        <v>165.95869074375622</v>
      </c>
      <c r="P140" s="189" t="str">
        <f t="shared" si="67"/>
        <v>120,833333333333</v>
      </c>
      <c r="Q140" s="160" t="str">
        <f t="shared" si="68"/>
        <v>1+0,929784709824607i</v>
      </c>
      <c r="R140" s="160">
        <f t="shared" si="77"/>
        <v>1.3654668090523578</v>
      </c>
      <c r="S140" s="160">
        <f t="shared" si="78"/>
        <v>0.74902916892959703</v>
      </c>
      <c r="T140" s="160" t="str">
        <f t="shared" si="69"/>
        <v>1+0,0000625649524367957i</v>
      </c>
      <c r="U140" s="160">
        <f t="shared" si="79"/>
        <v>1.0000000019571866</v>
      </c>
      <c r="V140" s="160">
        <f t="shared" si="80"/>
        <v>6.2564952355161508E-5</v>
      </c>
      <c r="W140" s="98" t="str">
        <f t="shared" si="70"/>
        <v>1-0,000535555992858971i</v>
      </c>
      <c r="X140" s="160">
        <f t="shared" si="81"/>
        <v>1.0000001434101005</v>
      </c>
      <c r="Y140" s="160">
        <f t="shared" si="82"/>
        <v>-5.3555594165621693E-4</v>
      </c>
      <c r="Z140" s="98" t="str">
        <f t="shared" si="71"/>
        <v>0,999999977237779+0,000207440646887155i</v>
      </c>
      <c r="AA140" s="160">
        <f t="shared" si="83"/>
        <v>0.99999999875359036</v>
      </c>
      <c r="AB140" s="160">
        <f t="shared" si="84"/>
        <v>2.0744064863346232E-4</v>
      </c>
      <c r="AC140" s="171" t="str">
        <f t="shared" si="85"/>
        <v>64,7663731535809-60,3010022976215i</v>
      </c>
      <c r="AD140" s="190">
        <f t="shared" si="86"/>
        <v>38.938113436528326</v>
      </c>
      <c r="AE140" s="169">
        <f t="shared" si="87"/>
        <v>-42.955195972958272</v>
      </c>
      <c r="AF140" s="98" t="str">
        <f t="shared" si="72"/>
        <v>-0,0000375877424711299</v>
      </c>
      <c r="AG140" s="98" t="str">
        <f t="shared" si="73"/>
        <v>1,05630494697457E-06i</v>
      </c>
      <c r="AH140" s="98">
        <f t="shared" si="88"/>
        <v>1.05630494697457E-6</v>
      </c>
      <c r="AI140" s="98">
        <f t="shared" si="89"/>
        <v>1.5707963267948966</v>
      </c>
      <c r="AJ140" s="98" t="str">
        <f t="shared" si="74"/>
        <v>1+0,000963487915117485i</v>
      </c>
      <c r="AK140" s="98">
        <f t="shared" si="90"/>
        <v>1.0000004641543736</v>
      </c>
      <c r="AL140" s="98">
        <f t="shared" si="91"/>
        <v>9.6348761697949545E-4</v>
      </c>
      <c r="AM140" s="98" t="str">
        <f t="shared" si="75"/>
        <v>1+0,0750779429241549i</v>
      </c>
      <c r="AN140" s="98">
        <f t="shared" si="92"/>
        <v>1.0028143883659242</v>
      </c>
      <c r="AO140" s="98">
        <f t="shared" si="93"/>
        <v>7.4937354207639556E-2</v>
      </c>
      <c r="AP140" s="168" t="str">
        <f t="shared" si="94"/>
        <v>-2,63729945615676+35,5867182636665i</v>
      </c>
      <c r="AQ140" s="98">
        <f t="shared" si="95"/>
        <v>31.049545678989261</v>
      </c>
      <c r="AR140" s="169">
        <f t="shared" si="96"/>
        <v>94.238390349908613</v>
      </c>
      <c r="AS140" s="168" t="str">
        <f t="shared" si="97"/>
        <v>1975,10645908698+2463,8544749412i</v>
      </c>
      <c r="AT140" s="190">
        <f t="shared" si="98"/>
        <v>69.987659115517587</v>
      </c>
      <c r="AU140" s="169">
        <f t="shared" si="99"/>
        <v>51.283194376950298</v>
      </c>
      <c r="AV140" s="225"/>
      <c r="AX140">
        <f t="shared" si="100"/>
        <v>0</v>
      </c>
      <c r="AY140">
        <f t="shared" si="101"/>
        <v>0</v>
      </c>
    </row>
    <row r="141" spans="14:51" x14ac:dyDescent="0.25">
      <c r="N141" s="170">
        <v>23</v>
      </c>
      <c r="O141" s="199">
        <f t="shared" si="102"/>
        <v>169.82436524617444</v>
      </c>
      <c r="P141" s="189" t="str">
        <f t="shared" si="67"/>
        <v>120,833333333333</v>
      </c>
      <c r="Q141" s="160" t="str">
        <f t="shared" si="68"/>
        <v>1+0,951442177893312i</v>
      </c>
      <c r="R141" s="160">
        <f t="shared" si="77"/>
        <v>1.3803051176730341</v>
      </c>
      <c r="S141" s="160">
        <f t="shared" si="78"/>
        <v>0.76052025279590385</v>
      </c>
      <c r="T141" s="160" t="str">
        <f t="shared" si="69"/>
        <v>1+0,0000640222773909515i</v>
      </c>
      <c r="U141" s="160">
        <f t="shared" si="79"/>
        <v>1.000000002049426</v>
      </c>
      <c r="V141" s="160">
        <f t="shared" si="80"/>
        <v>6.4022277303478877E-5</v>
      </c>
      <c r="W141" s="98" t="str">
        <f t="shared" si="70"/>
        <v>1-0,000548030694466545i</v>
      </c>
      <c r="X141" s="160">
        <f t="shared" si="81"/>
        <v>1.0000001501688098</v>
      </c>
      <c r="Y141" s="160">
        <f t="shared" si="82"/>
        <v>-5.48030639601806E-4</v>
      </c>
      <c r="Z141" s="98" t="str">
        <f t="shared" si="71"/>
        <v>0,999999976165029+0,000212272560273811i</v>
      </c>
      <c r="AA141" s="160">
        <f t="shared" si="83"/>
        <v>0.99999999869484912</v>
      </c>
      <c r="AB141" s="160">
        <f t="shared" si="84"/>
        <v>2.1227256214501292E-4</v>
      </c>
      <c r="AC141" s="171" t="str">
        <f t="shared" si="85"/>
        <v>63,3794868028071-60,3860509085786i</v>
      </c>
      <c r="AD141" s="190">
        <f t="shared" si="86"/>
        <v>38.844234493342341</v>
      </c>
      <c r="AE141" s="169">
        <f t="shared" si="87"/>
        <v>-43.614494677753846</v>
      </c>
      <c r="AF141" s="98" t="str">
        <f t="shared" si="72"/>
        <v>-0,0000375877424711299</v>
      </c>
      <c r="AG141" s="98" t="str">
        <f t="shared" si="73"/>
        <v>1,08090944995057E-06i</v>
      </c>
      <c r="AH141" s="98">
        <f t="shared" si="88"/>
        <v>1.08090944995057E-6</v>
      </c>
      <c r="AI141" s="98">
        <f t="shared" si="89"/>
        <v>1.5707963267948966</v>
      </c>
      <c r="AJ141" s="98" t="str">
        <f t="shared" si="74"/>
        <v>1+0,000985930431686913i</v>
      </c>
      <c r="AK141" s="98">
        <f t="shared" si="90"/>
        <v>1.0000004860292899</v>
      </c>
      <c r="AL141" s="98">
        <f t="shared" si="91"/>
        <v>9.8593011222630994E-4</v>
      </c>
      <c r="AM141" s="98" t="str">
        <f t="shared" si="75"/>
        <v>1+0,0768267328691419i</v>
      </c>
      <c r="AN141" s="98">
        <f t="shared" si="92"/>
        <v>1.0029468315336294</v>
      </c>
      <c r="AO141" s="98">
        <f t="shared" si="93"/>
        <v>7.6676113240221583E-2</v>
      </c>
      <c r="AP141" s="168" t="str">
        <f t="shared" si="94"/>
        <v>-2,6372993407754+34,7767826868076i</v>
      </c>
      <c r="AQ141" s="98">
        <f t="shared" si="95"/>
        <v>30.850692571428855</v>
      </c>
      <c r="AR141" s="169">
        <f t="shared" si="96"/>
        <v>94.336728043806431</v>
      </c>
      <c r="AS141" s="168" t="str">
        <f t="shared" si="97"/>
        <v>1932,88189099841+2363,39073159584i</v>
      </c>
      <c r="AT141" s="190">
        <f t="shared" si="98"/>
        <v>69.694927064771193</v>
      </c>
      <c r="AU141" s="169">
        <f t="shared" si="99"/>
        <v>50.722233366052656</v>
      </c>
      <c r="AV141" s="225"/>
      <c r="AX141">
        <f t="shared" si="100"/>
        <v>0</v>
      </c>
      <c r="AY141">
        <f t="shared" si="101"/>
        <v>0</v>
      </c>
    </row>
    <row r="142" spans="14:51" x14ac:dyDescent="0.25">
      <c r="N142" s="170">
        <v>24</v>
      </c>
      <c r="O142" s="199">
        <f t="shared" si="102"/>
        <v>173.78008287493768</v>
      </c>
      <c r="P142" s="189" t="str">
        <f t="shared" si="67"/>
        <v>120,833333333333</v>
      </c>
      <c r="Q142" s="160" t="str">
        <f t="shared" si="68"/>
        <v>1+0,973604113198568i</v>
      </c>
      <c r="R142" s="160">
        <f t="shared" si="77"/>
        <v>1.3956736614399405</v>
      </c>
      <c r="S142" s="160">
        <f t="shared" si="78"/>
        <v>0.7720245020187696</v>
      </c>
      <c r="T142" s="160" t="str">
        <f t="shared" si="69"/>
        <v>1+0,0000655135478040155i</v>
      </c>
      <c r="U142" s="160">
        <f t="shared" si="79"/>
        <v>1.0000000021460125</v>
      </c>
      <c r="V142" s="160">
        <f t="shared" si="80"/>
        <v>6.5513547710286895E-5</v>
      </c>
      <c r="W142" s="98" t="str">
        <f t="shared" si="70"/>
        <v>1-0,000560795969202373i</v>
      </c>
      <c r="X142" s="160">
        <f t="shared" si="81"/>
        <v>1.0000001572460471</v>
      </c>
      <c r="Y142" s="160">
        <f t="shared" si="82"/>
        <v>-5.6079591041374645E-4</v>
      </c>
      <c r="Z142" s="98" t="str">
        <f t="shared" si="71"/>
        <v>0,999999975041721+0,000217217023381686i</v>
      </c>
      <c r="AA142" s="160">
        <f t="shared" si="83"/>
        <v>0.99999999863333888</v>
      </c>
      <c r="AB142" s="160">
        <f t="shared" si="84"/>
        <v>2.1721702538671507E-4</v>
      </c>
      <c r="AC142" s="171" t="str">
        <f t="shared" si="85"/>
        <v>61,9894208552004-60,4392488020371i</v>
      </c>
      <c r="AD142" s="190">
        <f t="shared" si="86"/>
        <v>38.7480588649954</v>
      </c>
      <c r="AE142" s="169">
        <f t="shared" si="87"/>
        <v>-44.274568854207828</v>
      </c>
      <c r="AF142" s="98" t="str">
        <f t="shared" si="72"/>
        <v>-0,0000375877424711299</v>
      </c>
      <c r="AG142" s="98" t="str">
        <f t="shared" si="73"/>
        <v>1,10608706542446E-06i</v>
      </c>
      <c r="AH142" s="98">
        <f t="shared" si="88"/>
        <v>1.1060870654244599E-6</v>
      </c>
      <c r="AI142" s="98">
        <f t="shared" si="89"/>
        <v>1.5707963267948966</v>
      </c>
      <c r="AJ142" s="98" t="str">
        <f t="shared" si="74"/>
        <v>1+0,00100889570162156i</v>
      </c>
      <c r="AK142" s="98">
        <f t="shared" si="90"/>
        <v>1.0000005089351389</v>
      </c>
      <c r="AL142" s="98">
        <f t="shared" si="91"/>
        <v>1.0088953593133658E-3</v>
      </c>
      <c r="AM142" s="98" t="str">
        <f t="shared" si="75"/>
        <v>1+0,0786162573648187i</v>
      </c>
      <c r="AN142" s="98">
        <f t="shared" si="92"/>
        <v>1.0030854978126498</v>
      </c>
      <c r="AO142" s="98">
        <f t="shared" si="93"/>
        <v>7.8454892324872058E-2</v>
      </c>
      <c r="AP142" s="168" t="str">
        <f t="shared" si="94"/>
        <v>-2,63729921995632+33,9852862204436i</v>
      </c>
      <c r="AQ142" s="98">
        <f t="shared" si="95"/>
        <v>30.651893190604078</v>
      </c>
      <c r="AR142" s="169">
        <f t="shared" si="96"/>
        <v>94.437328766309491</v>
      </c>
      <c r="AS142" s="168" t="str">
        <f t="shared" si="97"/>
        <v>1890,56051821887+2266,12459412388i</v>
      </c>
      <c r="AT142" s="190">
        <f t="shared" si="98"/>
        <v>69.399952055599471</v>
      </c>
      <c r="AU142" s="169">
        <f t="shared" si="99"/>
        <v>50.162759912101656</v>
      </c>
      <c r="AV142" s="225"/>
      <c r="AX142">
        <f t="shared" si="100"/>
        <v>0</v>
      </c>
      <c r="AY142">
        <f t="shared" si="101"/>
        <v>0</v>
      </c>
    </row>
    <row r="143" spans="14:51" x14ac:dyDescent="0.25">
      <c r="N143" s="170">
        <v>25</v>
      </c>
      <c r="O143" s="199">
        <f t="shared" si="102"/>
        <v>177.82794100389242</v>
      </c>
      <c r="P143" s="189" t="str">
        <f t="shared" si="67"/>
        <v>120,833333333333</v>
      </c>
      <c r="Q143" s="160" t="str">
        <f t="shared" si="68"/>
        <v>1+0,996282266291817i</v>
      </c>
      <c r="R143" s="160">
        <f t="shared" si="77"/>
        <v>1.4115871755324072</v>
      </c>
      <c r="S143" s="160">
        <f t="shared" si="78"/>
        <v>0.78353583687532513</v>
      </c>
      <c r="T143" s="160" t="str">
        <f t="shared" si="69"/>
        <v>1+0,0000670395543672995i</v>
      </c>
      <c r="U143" s="160">
        <f t="shared" si="79"/>
        <v>1.0000000022471509</v>
      </c>
      <c r="V143" s="160">
        <f t="shared" si="80"/>
        <v>6.7039554266867503E-5</v>
      </c>
      <c r="W143" s="98" t="str">
        <f t="shared" si="70"/>
        <v>1-0,000573858585384084i</v>
      </c>
      <c r="X143" s="160">
        <f t="shared" si="81"/>
        <v>1.0000001646568244</v>
      </c>
      <c r="Y143" s="160">
        <f t="shared" si="82"/>
        <v>-5.738585223909364E-4</v>
      </c>
      <c r="Z143" s="98" t="str">
        <f t="shared" si="71"/>
        <v>0,999999973865474+0,000222276657830565i</v>
      </c>
      <c r="AA143" s="160">
        <f t="shared" si="83"/>
        <v>0.99999999856893063</v>
      </c>
      <c r="AB143" s="160">
        <f t="shared" si="84"/>
        <v>2.2227665997899223E-4</v>
      </c>
      <c r="AC143" s="171" t="str">
        <f t="shared" si="85"/>
        <v>60,5976421324364-60,4604552977316i</v>
      </c>
      <c r="AD143" s="190">
        <f t="shared" si="86"/>
        <v>38.649582504295715</v>
      </c>
      <c r="AE143" s="169">
        <f t="shared" si="87"/>
        <v>-44.935070652558835</v>
      </c>
      <c r="AF143" s="98" t="str">
        <f t="shared" si="72"/>
        <v>-0,0000375877424711299</v>
      </c>
      <c r="AG143" s="98" t="str">
        <f t="shared" si="73"/>
        <v>1,13185114290124E-06i</v>
      </c>
      <c r="AH143" s="98">
        <f t="shared" si="88"/>
        <v>1.13185114290124E-6</v>
      </c>
      <c r="AI143" s="98">
        <f t="shared" si="89"/>
        <v>1.5707963267948966</v>
      </c>
      <c r="AJ143" s="98" t="str">
        <f t="shared" si="74"/>
        <v>1+0,00103239590141152i</v>
      </c>
      <c r="AK143" s="98">
        <f t="shared" si="90"/>
        <v>1.0000005329205066</v>
      </c>
      <c r="AL143" s="98">
        <f t="shared" si="91"/>
        <v>1.0323955346216924E-3</v>
      </c>
      <c r="AM143" s="98" t="str">
        <f t="shared" si="75"/>
        <v>1+0,0804474652407594i</v>
      </c>
      <c r="AN143" s="98">
        <f t="shared" si="92"/>
        <v>1.0032306786894345</v>
      </c>
      <c r="AO143" s="98">
        <f t="shared" si="93"/>
        <v>8.0274589543412489E-2</v>
      </c>
      <c r="AP143" s="168" t="str">
        <f t="shared" si="94"/>
        <v>-2,6372990934432+33,2118092026703i</v>
      </c>
      <c r="AQ143" s="98">
        <f t="shared" si="95"/>
        <v>30.453150037454158</v>
      </c>
      <c r="AR143" s="169">
        <f t="shared" si="96"/>
        <v>94.540243276060579</v>
      </c>
      <c r="AS143" s="168" t="str">
        <f t="shared" si="97"/>
        <v>1848,18699899417+2172,00963258004i</v>
      </c>
      <c r="AT143" s="190">
        <f t="shared" si="98"/>
        <v>69.102732541749873</v>
      </c>
      <c r="AU143" s="169">
        <f t="shared" si="99"/>
        <v>49.60517262350168</v>
      </c>
      <c r="AV143" s="225"/>
      <c r="AX143">
        <f t="shared" si="100"/>
        <v>0</v>
      </c>
      <c r="AY143">
        <f t="shared" si="101"/>
        <v>0</v>
      </c>
    </row>
    <row r="144" spans="14:51" x14ac:dyDescent="0.25">
      <c r="N144" s="170">
        <v>26</v>
      </c>
      <c r="O144" s="199">
        <f t="shared" si="102"/>
        <v>181.9700858609983</v>
      </c>
      <c r="P144" s="189" t="str">
        <f t="shared" si="67"/>
        <v>120,833333333333</v>
      </c>
      <c r="Q144" s="160" t="str">
        <f t="shared" si="68"/>
        <v>1+1,01948866143i</v>
      </c>
      <c r="R144" s="160">
        <f t="shared" si="77"/>
        <v>1.4280606187358902</v>
      </c>
      <c r="S144" s="160">
        <f t="shared" si="78"/>
        <v>0.79504815889121783</v>
      </c>
      <c r="T144" s="160" t="str">
        <f t="shared" si="69"/>
        <v>1+0,0000686011061896817i</v>
      </c>
      <c r="U144" s="160">
        <f t="shared" si="79"/>
        <v>1.0000000023530558</v>
      </c>
      <c r="V144" s="160">
        <f t="shared" si="80"/>
        <v>6.860110608206688E-5</v>
      </c>
      <c r="W144" s="98" t="str">
        <f t="shared" si="70"/>
        <v>1-0,000587225468983675i</v>
      </c>
      <c r="X144" s="160">
        <f t="shared" si="81"/>
        <v>1.0000001724168608</v>
      </c>
      <c r="Y144" s="160">
        <f t="shared" si="82"/>
        <v>-5.8722540148530174E-4</v>
      </c>
      <c r="Z144" s="98" t="str">
        <f t="shared" si="71"/>
        <v>0,999999972633792+0,000227454146305602i</v>
      </c>
      <c r="AA144" s="160">
        <f t="shared" si="83"/>
        <v>0.99999999850148669</v>
      </c>
      <c r="AB144" s="160">
        <f t="shared" si="84"/>
        <v>2.2745414860768324E-4</v>
      </c>
      <c r="AC144" s="171" t="str">
        <f t="shared" si="85"/>
        <v>59,2056247048497-60,4496142323196i</v>
      </c>
      <c r="AD144" s="190">
        <f t="shared" si="86"/>
        <v>38.548803796975946</v>
      </c>
      <c r="AE144" s="169">
        <f t="shared" si="87"/>
        <v>-45.595651160140854</v>
      </c>
      <c r="AF144" s="98" t="str">
        <f t="shared" si="72"/>
        <v>-0,0000375877424711299</v>
      </c>
      <c r="AG144" s="98" t="str">
        <f t="shared" si="73"/>
        <v>0,0000011582153428358i</v>
      </c>
      <c r="AH144" s="98">
        <f t="shared" si="88"/>
        <v>1.1582153428358E-6</v>
      </c>
      <c r="AI144" s="98">
        <f t="shared" si="89"/>
        <v>1.5707963267948966</v>
      </c>
      <c r="AJ144" s="98" t="str">
        <f t="shared" si="74"/>
        <v>1+0,00105644349117377i</v>
      </c>
      <c r="AK144" s="98">
        <f t="shared" si="90"/>
        <v>1.0000005580362694</v>
      </c>
      <c r="AL144" s="98">
        <f t="shared" si="91"/>
        <v>1.0564430981514006E-3</v>
      </c>
      <c r="AM144" s="98" t="str">
        <f t="shared" si="75"/>
        <v>1+0,0823213274276181i</v>
      </c>
      <c r="AN144" s="98">
        <f t="shared" si="92"/>
        <v>1.0033826792153855</v>
      </c>
      <c r="AO144" s="98">
        <f t="shared" si="93"/>
        <v>8.2136121492021666E-2</v>
      </c>
      <c r="AP144" s="168" t="str">
        <f t="shared" si="94"/>
        <v>-2,6372989609677+32,4559415257346i</v>
      </c>
      <c r="AQ144" s="98">
        <f t="shared" si="95"/>
        <v>30.254465727810462</v>
      </c>
      <c r="AR144" s="169">
        <f t="shared" si="96"/>
        <v>94.645523376246786</v>
      </c>
      <c r="AS144" s="168" t="str">
        <f t="shared" si="97"/>
        <v>1805,80621225984+2080,99799822098i</v>
      </c>
      <c r="AT144" s="190">
        <f t="shared" si="98"/>
        <v>68.803269524786415</v>
      </c>
      <c r="AU144" s="169">
        <f t="shared" si="99"/>
        <v>49.049872216105811</v>
      </c>
      <c r="AV144" s="225"/>
      <c r="AX144">
        <f t="shared" si="100"/>
        <v>0</v>
      </c>
      <c r="AY144">
        <f t="shared" si="101"/>
        <v>0</v>
      </c>
    </row>
    <row r="145" spans="14:51" x14ac:dyDescent="0.25">
      <c r="N145" s="170">
        <v>27</v>
      </c>
      <c r="O145" s="199">
        <f t="shared" si="102"/>
        <v>186.20871366628685</v>
      </c>
      <c r="P145" s="189" t="str">
        <f t="shared" si="67"/>
        <v>120,833333333333</v>
      </c>
      <c r="Q145" s="160" t="str">
        <f t="shared" si="68"/>
        <v>1+1,043235602951i</v>
      </c>
      <c r="R145" s="160">
        <f t="shared" si="77"/>
        <v>1.4451091734760169</v>
      </c>
      <c r="S145" s="160">
        <f t="shared" si="78"/>
        <v>0.80655536697747954</v>
      </c>
      <c r="T145" s="160" t="str">
        <f t="shared" si="69"/>
        <v>1+0,0000701990312266091i</v>
      </c>
      <c r="U145" s="160">
        <f t="shared" si="79"/>
        <v>1.0000000024639519</v>
      </c>
      <c r="V145" s="160">
        <f t="shared" si="80"/>
        <v>7.0199031111297739E-5</v>
      </c>
      <c r="W145" s="98" t="str">
        <f t="shared" si="70"/>
        <v>1-0,000600903707299774i</v>
      </c>
      <c r="X145" s="160">
        <f t="shared" si="81"/>
        <v>1.0000001805426164</v>
      </c>
      <c r="Y145" s="160">
        <f t="shared" si="82"/>
        <v>-6.0090363497396486E-4</v>
      </c>
      <c r="Z145" s="98" t="str">
        <f t="shared" si="71"/>
        <v>0,999999971344062+0,000232752233979724i</v>
      </c>
      <c r="AA145" s="160">
        <f t="shared" si="83"/>
        <v>0.99999999843086362</v>
      </c>
      <c r="AB145" s="160">
        <f t="shared" si="84"/>
        <v>2.3275223644644854E-4</v>
      </c>
      <c r="AC145" s="171" t="str">
        <f t="shared" si="85"/>
        <v>57,8148436540633-60,4067543219005i</v>
      </c>
      <c r="AD145" s="190">
        <f t="shared" si="86"/>
        <v>38.445723568529587</v>
      </c>
      <c r="AE145" s="169">
        <f t="shared" si="87"/>
        <v>-46.255961326224813</v>
      </c>
      <c r="AF145" s="98" t="str">
        <f t="shared" si="72"/>
        <v>-0,0000375877424711299</v>
      </c>
      <c r="AG145" s="98" t="str">
        <f t="shared" si="73"/>
        <v>1,18519364387592E-06i</v>
      </c>
      <c r="AH145" s="98">
        <f t="shared" si="88"/>
        <v>1.18519364387592E-6</v>
      </c>
      <c r="AI145" s="98">
        <f t="shared" si="89"/>
        <v>1.5707963267948966</v>
      </c>
      <c r="AJ145" s="98" t="str">
        <f t="shared" si="74"/>
        <v>1+0,00108105122125874i</v>
      </c>
      <c r="AK145" s="98">
        <f t="shared" si="90"/>
        <v>1.0000005843357007</v>
      </c>
      <c r="AL145" s="98">
        <f t="shared" si="91"/>
        <v>1.081050800127697E-3</v>
      </c>
      <c r="AM145" s="98" t="str">
        <f t="shared" si="75"/>
        <v>1+0,084238837471931i</v>
      </c>
      <c r="AN145" s="98">
        <f t="shared" si="92"/>
        <v>1.0035418186297083</v>
      </c>
      <c r="AO145" s="98">
        <f t="shared" si="93"/>
        <v>8.4040423544676279E-2</v>
      </c>
      <c r="AP145" s="168" t="str">
        <f t="shared" si="94"/>
        <v>-2,63729882224887+31,7172824185878i</v>
      </c>
      <c r="AQ145" s="98">
        <f t="shared" si="95"/>
        <v>30.055842997527947</v>
      </c>
      <c r="AR145" s="169">
        <f t="shared" si="96"/>
        <v>94.753221929315259</v>
      </c>
      <c r="AS145" s="168" t="str">
        <f t="shared" si="97"/>
        <v>1763,4630677406+1993,04038619145i</v>
      </c>
      <c r="AT145" s="190">
        <f t="shared" si="98"/>
        <v>68.501566566057534</v>
      </c>
      <c r="AU145" s="169">
        <f t="shared" si="99"/>
        <v>48.49726060309051</v>
      </c>
      <c r="AV145" s="225"/>
      <c r="AX145">
        <f t="shared" si="100"/>
        <v>0</v>
      </c>
      <c r="AY145">
        <f t="shared" si="101"/>
        <v>0</v>
      </c>
    </row>
    <row r="146" spans="14:51" x14ac:dyDescent="0.25">
      <c r="N146" s="170">
        <v>28</v>
      </c>
      <c r="O146" s="199">
        <f t="shared" si="102"/>
        <v>190.54607179632498</v>
      </c>
      <c r="P146" s="189" t="str">
        <f t="shared" si="67"/>
        <v>120,833333333333</v>
      </c>
      <c r="Q146" s="160" t="str">
        <f t="shared" si="68"/>
        <v>1+1,06753568179756i</v>
      </c>
      <c r="R146" s="160">
        <f t="shared" si="77"/>
        <v>1.4627482462512067</v>
      </c>
      <c r="S146" s="160">
        <f t="shared" si="78"/>
        <v>0.81805137358425917</v>
      </c>
      <c r="T146" s="160" t="str">
        <f t="shared" si="69"/>
        <v>1+0,0000718341767190875i</v>
      </c>
      <c r="U146" s="160">
        <f t="shared" si="79"/>
        <v>1.0000000025800744</v>
      </c>
      <c r="V146" s="160">
        <f t="shared" si="80"/>
        <v>7.1834176595529152E-5</v>
      </c>
      <c r="W146" s="98" t="str">
        <f t="shared" si="70"/>
        <v>1-0,000614900552715389i</v>
      </c>
      <c r="X146" s="160">
        <f t="shared" si="81"/>
        <v>1.000000189051327</v>
      </c>
      <c r="Y146" s="160">
        <f t="shared" si="82"/>
        <v>-6.1490047521688899E-4</v>
      </c>
      <c r="Z146" s="98" t="str">
        <f t="shared" si="71"/>
        <v>0,999999969993549+0,000238173729969144i</v>
      </c>
      <c r="AA146" s="160">
        <f t="shared" si="83"/>
        <v>0.99999999835691222</v>
      </c>
      <c r="AB146" s="160">
        <f t="shared" si="84"/>
        <v>2.3817373261228705E-4</v>
      </c>
      <c r="AC146" s="171" t="str">
        <f t="shared" si="85"/>
        <v>56,4267688265214-60,3319889766036i</v>
      </c>
      <c r="AD146" s="190">
        <f t="shared" si="86"/>
        <v>38.340345080715245</v>
      </c>
      <c r="AE146" s="169">
        <f t="shared" si="87"/>
        <v>-46.915652887834149</v>
      </c>
      <c r="AF146" s="98" t="str">
        <f t="shared" si="72"/>
        <v>-0,0000375877424711299</v>
      </c>
      <c r="AG146" s="98" t="str">
        <f t="shared" si="73"/>
        <v>1,21280035027392E-06i</v>
      </c>
      <c r="AH146" s="98">
        <f t="shared" si="88"/>
        <v>1.2128003502739199E-6</v>
      </c>
      <c r="AI146" s="98">
        <f t="shared" si="89"/>
        <v>1.5707963267948966</v>
      </c>
      <c r="AJ146" s="98" t="str">
        <f t="shared" si="74"/>
        <v>1+0,00110623213901063i</v>
      </c>
      <c r="AK146" s="98">
        <f t="shared" si="90"/>
        <v>1.0000006118745854</v>
      </c>
      <c r="AL146" s="98">
        <f t="shared" si="91"/>
        <v>1.1062316877606022E-3</v>
      </c>
      <c r="AM146" s="98" t="str">
        <f t="shared" si="75"/>
        <v>1+0,086201012062905i</v>
      </c>
      <c r="AN146" s="98">
        <f t="shared" si="92"/>
        <v>1.0037084310100564</v>
      </c>
      <c r="AO146" s="98">
        <f t="shared" si="93"/>
        <v>8.598845011122061E-2</v>
      </c>
      <c r="AP146" s="168" t="str">
        <f t="shared" si="94"/>
        <v>-2,63729867699245+30,9954402343929i</v>
      </c>
      <c r="AQ146" s="98">
        <f t="shared" si="95"/>
        <v>29.85728470783279</v>
      </c>
      <c r="AR146" s="169">
        <f t="shared" si="96"/>
        <v>94.863392871371857</v>
      </c>
      <c r="AS146" s="168" t="str">
        <f t="shared" si="97"/>
        <v>1721,20231577322+1908,08601549067i</v>
      </c>
      <c r="AT146" s="190">
        <f t="shared" si="98"/>
        <v>68.197629788548028</v>
      </c>
      <c r="AU146" s="169">
        <f t="shared" si="99"/>
        <v>47.947739983537822</v>
      </c>
      <c r="AV146" s="225"/>
      <c r="AX146">
        <f t="shared" si="100"/>
        <v>0</v>
      </c>
      <c r="AY146">
        <f t="shared" si="101"/>
        <v>0</v>
      </c>
    </row>
    <row r="147" spans="14:51" x14ac:dyDescent="0.25">
      <c r="N147" s="170">
        <v>29</v>
      </c>
      <c r="O147" s="199">
        <f t="shared" si="102"/>
        <v>194.98445997580458</v>
      </c>
      <c r="P147" s="189" t="str">
        <f t="shared" ref="P147:P210" si="103">COMPLEX(Adc,0)</f>
        <v>120,833333333333</v>
      </c>
      <c r="Q147" s="160" t="str">
        <f t="shared" ref="Q147:Q210" si="104">IMSUM(COMPLEX(1,0),IMDIV(COMPLEX(0,2*PI()*O147),COMPLEX(wp_lf,0)))</f>
        <v>1+1,09240178219309i</v>
      </c>
      <c r="R147" s="160">
        <f t="shared" si="77"/>
        <v>1.4809934684996553</v>
      </c>
      <c r="S147" s="160">
        <f t="shared" si="78"/>
        <v>0.82953012076717236</v>
      </c>
      <c r="T147" s="160" t="str">
        <f t="shared" ref="T147:T210" si="105">IMSUM(COMPLEX(1,0),IMDIV(COMPLEX(0,2*PI()*O147),COMPLEX(wz_esr,0)))</f>
        <v>1+0,0000735074096428991i</v>
      </c>
      <c r="U147" s="160">
        <f t="shared" si="79"/>
        <v>1.0000000027016696</v>
      </c>
      <c r="V147" s="160">
        <f t="shared" si="80"/>
        <v>7.3507409510503943E-5</v>
      </c>
      <c r="W147" s="98" t="str">
        <f t="shared" ref="W147:W210" si="106">IMSUB(COMPLEX(1,0),IMDIV(COMPLEX(0,2*PI()*O147),COMPLEX(wz_rhp,0)))</f>
        <v>1-0,000629223426543216i</v>
      </c>
      <c r="X147" s="160">
        <f t="shared" si="81"/>
        <v>1.0000001979610407</v>
      </c>
      <c r="Y147" s="160">
        <f t="shared" si="82"/>
        <v>-6.2922334350207795E-4</v>
      </c>
      <c r="Z147" s="98" t="str">
        <f t="shared" ref="Z147:Z210" si="107">IF(Dc_Mode_Loop="CCM",IMSUM(COMPLEX(1,0),IMDIV(COMPLEX(0,2*PI()*O147),COMPLEX(Q*(wsl/2),0)),IMDIV(IMPOWER(COMPLEX(0,2*PI()*O147),2),IMPOWER(COMPLEX(wsl/2,0),2))),COMPLEX(1,0))</f>
        <v>0,999999968579389+0,000243721508822792i</v>
      </c>
      <c r="AA147" s="160">
        <f t="shared" si="83"/>
        <v>0.9999999982794765</v>
      </c>
      <c r="AB147" s="160">
        <f t="shared" si="84"/>
        <v>2.4372151165497069E-4</v>
      </c>
      <c r="AC147" s="171" t="str">
        <f t="shared" si="85"/>
        <v>55,0428586340728-60,2255155694729i</v>
      </c>
      <c r="AD147" s="190">
        <f t="shared" si="86"/>
        <v>38.232674017761695</v>
      </c>
      <c r="AE147" s="169">
        <f t="shared" si="87"/>
        <v>-47.574379290556692</v>
      </c>
      <c r="AF147" s="98" t="str">
        <f t="shared" ref="AF147:AF210" si="108">COMPLEX(Adc_ea,0)</f>
        <v>-0,0000375877424711299</v>
      </c>
      <c r="AG147" s="98" t="str">
        <f t="shared" ref="AG147:AG210" si="109">COMPLEX(0,2*PI()*O147*wp0_ea)</f>
        <v>1,24105009947095E-06i</v>
      </c>
      <c r="AH147" s="98">
        <f t="shared" si="88"/>
        <v>1.2410500994709499E-6</v>
      </c>
      <c r="AI147" s="98">
        <f t="shared" si="89"/>
        <v>1.5707963267948966</v>
      </c>
      <c r="AJ147" s="98" t="str">
        <f t="shared" ref="AJ147:AJ210" si="110">IMSUM(COMPLEX(1,0),IMDIV(COMPLEX(0,2*PI()*O147),COMPLEX(wp1_ea,0)))</f>
        <v>1+0,00113199959568532i</v>
      </c>
      <c r="AK147" s="98">
        <f t="shared" si="90"/>
        <v>1.0000006407113371</v>
      </c>
      <c r="AL147" s="98">
        <f t="shared" si="91"/>
        <v>1.1319991121622206E-3</v>
      </c>
      <c r="AM147" s="98" t="str">
        <f t="shared" ref="AM147:AM210" si="111">IMSUM(COMPLEX(1,0),IMDIV(COMPLEX(0,2*PI()*O147),COMPLEX(wz_ea,0)))</f>
        <v>1+0,088208891571479i</v>
      </c>
      <c r="AN147" s="98">
        <f t="shared" si="92"/>
        <v>1.0038828659521335</v>
      </c>
      <c r="AO147" s="98">
        <f t="shared" si="93"/>
        <v>8.7981174889184721E-2</v>
      </c>
      <c r="AP147" s="168" t="str">
        <f t="shared" si="94"/>
        <v>-2,63729852489027+30,2900322428683i</v>
      </c>
      <c r="AQ147" s="98">
        <f t="shared" si="95"/>
        <v>29.65879385089254</v>
      </c>
      <c r="AR147" s="169">
        <f t="shared" si="96"/>
        <v>94.9760912262132</v>
      </c>
      <c r="AS147" s="168" t="str">
        <f t="shared" si="97"/>
        <v>1679,06835856132+1826,08262613783i</v>
      </c>
      <c r="AT147" s="190">
        <f t="shared" si="98"/>
        <v>67.891467868654232</v>
      </c>
      <c r="AU147" s="169">
        <f t="shared" si="99"/>
        <v>47.401711935656408</v>
      </c>
      <c r="AV147" s="225"/>
      <c r="AX147">
        <f t="shared" si="100"/>
        <v>0</v>
      </c>
      <c r="AY147">
        <f t="shared" si="101"/>
        <v>0</v>
      </c>
    </row>
    <row r="148" spans="14:51" x14ac:dyDescent="0.25">
      <c r="N148" s="170">
        <v>30</v>
      </c>
      <c r="O148" s="199">
        <f t="shared" si="102"/>
        <v>199.52623149688802</v>
      </c>
      <c r="P148" s="189" t="str">
        <f t="shared" si="103"/>
        <v>120,833333333333</v>
      </c>
      <c r="Q148" s="160" t="str">
        <f t="shared" si="104"/>
        <v>1+1,1178470884732i</v>
      </c>
      <c r="R148" s="160">
        <f t="shared" ref="R148:R211" si="112">IMABS(Q148)</f>
        <v>1.4998606979343148</v>
      </c>
      <c r="S148" s="160">
        <f t="shared" ref="S148:S211" si="113">IMARGUMENT(Q148)</f>
        <v>0.84098559606322576</v>
      </c>
      <c r="T148" s="160" t="str">
        <f t="shared" si="105"/>
        <v>1+0,0000752196171682895i</v>
      </c>
      <c r="U148" s="160">
        <f t="shared" ref="U148:U211" si="114">IMABS(T148)</f>
        <v>1.0000000028289953</v>
      </c>
      <c r="V148" s="160">
        <f t="shared" ref="V148:V211" si="115">IMARGUMENT(T148)</f>
        <v>7.5219617026425531E-5</v>
      </c>
      <c r="W148" s="98" t="str">
        <f t="shared" si="106"/>
        <v>1-0,000643879922960558i</v>
      </c>
      <c r="X148" s="160">
        <f t="shared" ref="X148:X211" si="116">IMABS(W148)</f>
        <v>1.0000002072906562</v>
      </c>
      <c r="Y148" s="160">
        <f t="shared" ref="Y148:Y211" si="117">IMARGUMENT(W148)</f>
        <v>-6.4387983398037649E-4</v>
      </c>
      <c r="Z148" s="98" t="str">
        <f t="shared" si="107"/>
        <v>0,999999967098581+0,000249398512046455i</v>
      </c>
      <c r="AA148" s="160">
        <f t="shared" ref="AA148:AA211" si="118">IMABS(Z148)</f>
        <v>0.99999999819839047</v>
      </c>
      <c r="AB148" s="160">
        <f t="shared" ref="AB148:AB211" si="119">IMARGUMENT(Z148)</f>
        <v>2.4939851508118919E-4</v>
      </c>
      <c r="AC148" s="171" t="str">
        <f t="shared" ref="AC148:AC211" si="120">(IMDIV(IMPRODUCT(P148,T148,W148),IMPRODUCT(Q148,Z148)))</f>
        <v>53,6645539569821-60,0876141684024i</v>
      </c>
      <c r="AD148" s="190">
        <f t="shared" ref="AD148:AD211" si="121">20*LOG(IMABS(AC148))</f>
        <v>38.122718462395014</v>
      </c>
      <c r="AE148" s="169">
        <f t="shared" ref="AE148:AE211" si="122">(180/PI())*IMARGUMENT(AC148)</f>
        <v>-48.231796598456079</v>
      </c>
      <c r="AF148" s="98" t="str">
        <f t="shared" si="108"/>
        <v>-0,0000375877424711299</v>
      </c>
      <c r="AG148" s="98" t="str">
        <f t="shared" si="109"/>
        <v>1,26995786985796E-06i</v>
      </c>
      <c r="AH148" s="98">
        <f t="shared" ref="AH148:AH211" si="123">IMABS(AG148)</f>
        <v>1.26995786985796E-6</v>
      </c>
      <c r="AI148" s="98">
        <f t="shared" ref="AI148:AI211" si="124">IMARGUMENT(AG148)</f>
        <v>1.5707963267948966</v>
      </c>
      <c r="AJ148" s="98" t="str">
        <f t="shared" si="110"/>
        <v>1+0,00115836725352943i</v>
      </c>
      <c r="AK148" s="98">
        <f t="shared" ref="AK148:AK211" si="125">IMABS(AJ148)</f>
        <v>1.0000006709071219</v>
      </c>
      <c r="AL148" s="98">
        <f t="shared" ref="AL148:AL211" si="126">IMARGUMENT(AJ148)</f>
        <v>1.1583667354251133E-3</v>
      </c>
      <c r="AM148" s="98" t="str">
        <f t="shared" si="111"/>
        <v>1+0,0902635406019475i</v>
      </c>
      <c r="AN148" s="98">
        <f t="shared" ref="AN148:AN211" si="127">IMABS(AM148)</f>
        <v>1.0040654892794589</v>
      </c>
      <c r="AO148" s="98">
        <f t="shared" ref="AO148:AO211" si="128">IMARGUMENT(AM148)</f>
        <v>9.0019591108397759E-2</v>
      </c>
      <c r="AP148" s="168" t="str">
        <f t="shared" ref="AP148:AP211" si="129">IMPRODUCT(AF148,IMDIV(AM148,IMPRODUCT(AG148,AJ148)))</f>
        <v>-2,63729836561978+29,6006844273586i</v>
      </c>
      <c r="AQ148" s="98">
        <f t="shared" ref="AQ148:AQ211" si="130">20*LOG(IMABS(AP148))</f>
        <v>29.460373555616819</v>
      </c>
      <c r="AR148" s="169">
        <f t="shared" ref="AR148:AR211" si="131">(180/PI())*IMARGUMENT(AP148)</f>
        <v>95.091373118936374</v>
      </c>
      <c r="AS148" s="168" t="str">
        <f t="shared" ref="AS148:AS211" si="132">IMPRODUCT(AC148,AP148)</f>
        <v>1637,1050645493+1746,97649325591i</v>
      </c>
      <c r="AT148" s="190">
        <f t="shared" ref="AT148:AT211" si="133">20*LOG(IMABS(AS148))</f>
        <v>67.583092018011854</v>
      </c>
      <c r="AU148" s="169">
        <f t="shared" ref="AU148:AU211" si="134">(180/PI())*IMARGUMENT(AS148)</f>
        <v>46.859576520480324</v>
      </c>
      <c r="AV148" s="225"/>
      <c r="AX148">
        <f t="shared" ref="AX148:AX211" si="135">SUM((AT149&lt;0)*(AT148&gt;0))*O148</f>
        <v>0</v>
      </c>
      <c r="AY148">
        <f t="shared" ref="AY148:AY211" si="136">IF(AX148&gt;0,AU148,0)</f>
        <v>0</v>
      </c>
    </row>
    <row r="149" spans="14:51" x14ac:dyDescent="0.25">
      <c r="N149" s="170">
        <v>31</v>
      </c>
      <c r="O149" s="199">
        <f t="shared" si="102"/>
        <v>204.17379446695315</v>
      </c>
      <c r="P149" s="189" t="str">
        <f t="shared" si="103"/>
        <v>120,833333333333</v>
      </c>
      <c r="Q149" s="160" t="str">
        <f t="shared" si="104"/>
        <v>1+1,14388509207606i</v>
      </c>
      <c r="R149" s="160">
        <f t="shared" si="112"/>
        <v>1.5193660203762147</v>
      </c>
      <c r="S149" s="160">
        <f t="shared" si="113"/>
        <v>0.85241184807516601</v>
      </c>
      <c r="T149" s="160" t="str">
        <f t="shared" si="105"/>
        <v>1+0,0000769717071303515i</v>
      </c>
      <c r="U149" s="160">
        <f t="shared" si="114"/>
        <v>1.0000000029623217</v>
      </c>
      <c r="V149" s="160">
        <f t="shared" si="115"/>
        <v>7.6971706978341516E-5</v>
      </c>
      <c r="W149" s="98" t="str">
        <f t="shared" si="106"/>
        <v>1-0,000658877813035809i</v>
      </c>
      <c r="X149" s="160">
        <f t="shared" si="116"/>
        <v>1.0000002170599627</v>
      </c>
      <c r="Y149" s="160">
        <f t="shared" si="117"/>
        <v>-6.5887771769182783E-4</v>
      </c>
      <c r="Z149" s="98" t="str">
        <f t="shared" si="107"/>
        <v>0,999999965547985+0,000255207749662384i</v>
      </c>
      <c r="AA149" s="160">
        <f t="shared" si="118"/>
        <v>0.99999999811348328</v>
      </c>
      <c r="AB149" s="160">
        <f t="shared" si="119"/>
        <v>2.5520775291416024E-4</v>
      </c>
      <c r="AC149" s="171" t="str">
        <f t="shared" si="120"/>
        <v>52,2932722032457-59,9186457462392i</v>
      </c>
      <c r="AD149" s="190">
        <f t="shared" si="121"/>
        <v>38.010488861905237</v>
      </c>
      <c r="AE149" s="169">
        <f t="shared" si="122"/>
        <v>-48.887564387281969</v>
      </c>
      <c r="AF149" s="98" t="str">
        <f t="shared" si="108"/>
        <v>-0,0000375877424711299</v>
      </c>
      <c r="AG149" s="98" t="str">
        <f t="shared" si="109"/>
        <v>1,29953898871744E-06i</v>
      </c>
      <c r="AH149" s="98">
        <f t="shared" si="123"/>
        <v>1.2995389887174401E-6</v>
      </c>
      <c r="AI149" s="98">
        <f t="shared" si="124"/>
        <v>1.5707963267948966</v>
      </c>
      <c r="AJ149" s="98" t="str">
        <f t="shared" si="110"/>
        <v>1+0,00118534909302417i</v>
      </c>
      <c r="AK149" s="98">
        <f t="shared" si="125"/>
        <v>1.0000007025259894</v>
      </c>
      <c r="AL149" s="98">
        <f t="shared" si="126"/>
        <v>1.1853485378654134E-3</v>
      </c>
      <c r="AM149" s="98" t="str">
        <f t="shared" si="111"/>
        <v>1+0,0923660485564219i</v>
      </c>
      <c r="AN149" s="98">
        <f t="shared" si="127"/>
        <v>1.0042566837845428</v>
      </c>
      <c r="AO149" s="98">
        <f t="shared" si="128"/>
        <v>9.2104711767351632E-2</v>
      </c>
      <c r="AP149" s="168" t="str">
        <f t="shared" si="129"/>
        <v>-2,63729819884313+28,9270312865264i</v>
      </c>
      <c r="AQ149" s="98">
        <f t="shared" si="130"/>
        <v>29.262027093696794</v>
      </c>
      <c r="AR149" s="169">
        <f t="shared" si="131"/>
        <v>95.209295789066488</v>
      </c>
      <c r="AS149" s="168" t="str">
        <f t="shared" si="132"/>
        <v>1595,35558755452+1670,71245760181i</v>
      </c>
      <c r="AT149" s="190">
        <f t="shared" si="133"/>
        <v>67.272515955602046</v>
      </c>
      <c r="AU149" s="169">
        <f t="shared" si="134"/>
        <v>46.321731401784589</v>
      </c>
      <c r="AV149" s="225"/>
      <c r="AX149">
        <f t="shared" si="135"/>
        <v>0</v>
      </c>
      <c r="AY149">
        <f t="shared" si="136"/>
        <v>0</v>
      </c>
    </row>
    <row r="150" spans="14:51" x14ac:dyDescent="0.25">
      <c r="N150" s="170">
        <v>32</v>
      </c>
      <c r="O150" s="199">
        <f t="shared" si="102"/>
        <v>208.92961308540396</v>
      </c>
      <c r="P150" s="189" t="str">
        <f t="shared" si="103"/>
        <v>120,833333333333</v>
      </c>
      <c r="Q150" s="160" t="str">
        <f t="shared" si="104"/>
        <v>1+1,17052959869587i</v>
      </c>
      <c r="R150" s="160">
        <f t="shared" si="112"/>
        <v>1.5395257521143044</v>
      </c>
      <c r="S150" s="160">
        <f t="shared" si="113"/>
        <v>0.86380300166707591</v>
      </c>
      <c r="T150" s="160" t="str">
        <f t="shared" si="105"/>
        <v>1+0,0000787646085103756i</v>
      </c>
      <c r="U150" s="160">
        <f t="shared" si="114"/>
        <v>1.0000000031019318</v>
      </c>
      <c r="V150" s="160">
        <f t="shared" si="115"/>
        <v>7.8764608347493969E-5</v>
      </c>
      <c r="W150" s="98" t="str">
        <f t="shared" si="106"/>
        <v>1-0,000674225048848816i</v>
      </c>
      <c r="X150" s="160">
        <f t="shared" si="116"/>
        <v>1.0000002272896824</v>
      </c>
      <c r="Y150" s="160">
        <f t="shared" si="117"/>
        <v>-6.7422494668590075E-4</v>
      </c>
      <c r="Z150" s="98" t="str">
        <f t="shared" si="107"/>
        <v>0,999999963924311+0,00026115230180526i</v>
      </c>
      <c r="AA150" s="160">
        <f t="shared" si="118"/>
        <v>0.99999999802457396</v>
      </c>
      <c r="AB150" s="160">
        <f t="shared" si="119"/>
        <v>2.6115230528960112E-4</v>
      </c>
      <c r="AC150" s="171" t="str">
        <f t="shared" si="120"/>
        <v>50,9304015756309-59,7190498902406i</v>
      </c>
      <c r="AD150" s="190">
        <f t="shared" si="121"/>
        <v>37.895997984550704</v>
      </c>
      <c r="AE150" s="169">
        <f t="shared" si="122"/>
        <v>-49.541346615412799</v>
      </c>
      <c r="AF150" s="98" t="str">
        <f t="shared" si="108"/>
        <v>-0,0000375877424711299</v>
      </c>
      <c r="AG150" s="98" t="str">
        <f t="shared" si="109"/>
        <v>1,32980914035017E-06i</v>
      </c>
      <c r="AH150" s="98">
        <f t="shared" si="123"/>
        <v>1.3298091403501701E-6</v>
      </c>
      <c r="AI150" s="98">
        <f t="shared" si="124"/>
        <v>1.5707963267948966</v>
      </c>
      <c r="AJ150" s="98" t="str">
        <f t="shared" si="110"/>
        <v>1+0,00121295942029799i</v>
      </c>
      <c r="AK150" s="98">
        <f t="shared" si="125"/>
        <v>1.0000007356350071</v>
      </c>
      <c r="AL150" s="98">
        <f t="shared" si="126"/>
        <v>1.2129588254346886E-3</v>
      </c>
      <c r="AM150" s="98" t="str">
        <f t="shared" si="111"/>
        <v>1+0,0945175302124509i</v>
      </c>
      <c r="AN150" s="98">
        <f t="shared" si="127"/>
        <v>1.0044568500027573</v>
      </c>
      <c r="AO150" s="98">
        <f t="shared" si="128"/>
        <v>9.4237569860230908E-2</v>
      </c>
      <c r="AP150" s="168" t="str">
        <f t="shared" si="129"/>
        <v>-2,63729802420657+28,2687156405582i</v>
      </c>
      <c r="AQ150" s="98">
        <f t="shared" si="130"/>
        <v>29.063757885891132</v>
      </c>
      <c r="AR150" s="169">
        <f t="shared" si="131"/>
        <v>95.329917603139904</v>
      </c>
      <c r="AS150" s="168" t="str">
        <f t="shared" si="132"/>
        <v>1553,86219222406+1597,23397188397i</v>
      </c>
      <c r="AT150" s="190">
        <f t="shared" si="133"/>
        <v>66.959755870441825</v>
      </c>
      <c r="AU150" s="169">
        <f t="shared" si="134"/>
        <v>45.788570987727091</v>
      </c>
      <c r="AV150" s="225"/>
      <c r="AX150">
        <f t="shared" si="135"/>
        <v>0</v>
      </c>
      <c r="AY150">
        <f t="shared" si="136"/>
        <v>0</v>
      </c>
    </row>
    <row r="151" spans="14:51" x14ac:dyDescent="0.25">
      <c r="N151" s="170">
        <v>33</v>
      </c>
      <c r="O151" s="199">
        <f t="shared" si="102"/>
        <v>213.79620895022339</v>
      </c>
      <c r="P151" s="189" t="str">
        <f t="shared" si="103"/>
        <v>120,833333333333</v>
      </c>
      <c r="Q151" s="160" t="str">
        <f t="shared" si="104"/>
        <v>1+1,19779473560268i</v>
      </c>
      <c r="R151" s="160">
        <f t="shared" si="112"/>
        <v>1.5603564428160297</v>
      </c>
      <c r="S151" s="160">
        <f t="shared" si="113"/>
        <v>0.87515327267811083</v>
      </c>
      <c r="T151" s="160" t="str">
        <f t="shared" si="105"/>
        <v>1+0,0000805992719284043i</v>
      </c>
      <c r="U151" s="160">
        <f t="shared" si="114"/>
        <v>1.0000000032481213</v>
      </c>
      <c r="V151" s="160">
        <f t="shared" si="115"/>
        <v>8.0599271753873492E-5</v>
      </c>
      <c r="W151" s="98" t="str">
        <f t="shared" si="106"/>
        <v>1-0,000689929767707141i</v>
      </c>
      <c r="X151" s="160">
        <f t="shared" si="116"/>
        <v>1.0000002380015138</v>
      </c>
      <c r="Y151" s="160">
        <f t="shared" si="117"/>
        <v>-6.8992965823760639E-4</v>
      </c>
      <c r="Z151" s="98" t="str">
        <f t="shared" si="107"/>
        <v>0,999999962224117+0,000267235320355311i</v>
      </c>
      <c r="AA151" s="160">
        <f t="shared" si="118"/>
        <v>0.99999999793147609</v>
      </c>
      <c r="AB151" s="160">
        <f t="shared" si="119"/>
        <v>2.6723532408884956E-4</v>
      </c>
      <c r="AC151" s="171" t="str">
        <f t="shared" si="120"/>
        <v>49,5772955947833-59,4893420377513i</v>
      </c>
      <c r="AD151" s="190">
        <f t="shared" si="121"/>
        <v>37.779260866686634</v>
      </c>
      <c r="AE151" s="169">
        <f t="shared" si="122"/>
        <v>-50.192812467199104</v>
      </c>
      <c r="AF151" s="98" t="str">
        <f t="shared" si="108"/>
        <v>-0,0000375877424711299</v>
      </c>
      <c r="AG151" s="98" t="str">
        <f t="shared" si="109"/>
        <v>1,36078437439123E-06i</v>
      </c>
      <c r="AH151" s="98">
        <f t="shared" si="123"/>
        <v>1.3607843743912299E-6</v>
      </c>
      <c r="AI151" s="98">
        <f t="shared" si="124"/>
        <v>1.5707963267948966</v>
      </c>
      <c r="AJ151" s="98" t="str">
        <f t="shared" si="110"/>
        <v>1+0,00124121287471185i</v>
      </c>
      <c r="AK151" s="98">
        <f t="shared" si="125"/>
        <v>1.0000007703044034</v>
      </c>
      <c r="AL151" s="98">
        <f t="shared" si="126"/>
        <v>1.241212237304365E-3</v>
      </c>
      <c r="AM151" s="98" t="str">
        <f t="shared" si="111"/>
        <v>1+0,0967191263140852i</v>
      </c>
      <c r="AN151" s="98">
        <f t="shared" si="127"/>
        <v>1.0046664070202407</v>
      </c>
      <c r="AO151" s="98">
        <f t="shared" si="128"/>
        <v>9.6419218593401648E-2</v>
      </c>
      <c r="AP151" s="168" t="str">
        <f t="shared" si="129"/>
        <v>-2,63729784133963+27,6253884417831i</v>
      </c>
      <c r="AQ151" s="98">
        <f t="shared" si="130"/>
        <v>28.865569508566793</v>
      </c>
      <c r="AR151" s="169">
        <f t="shared" si="131"/>
        <v>95.453298066673668</v>
      </c>
      <c r="AS151" s="168" t="str">
        <f t="shared" si="132"/>
        <v>1512,6660872874+1526,48316203787i</v>
      </c>
      <c r="AT151" s="190">
        <f t="shared" si="133"/>
        <v>66.644830375253449</v>
      </c>
      <c r="AU151" s="169">
        <f t="shared" si="134"/>
        <v>45.260485599474578</v>
      </c>
      <c r="AV151" s="225"/>
      <c r="AX151">
        <f t="shared" si="135"/>
        <v>0</v>
      </c>
      <c r="AY151">
        <f t="shared" si="136"/>
        <v>0</v>
      </c>
    </row>
    <row r="152" spans="14:51" x14ac:dyDescent="0.25">
      <c r="N152" s="170">
        <v>34</v>
      </c>
      <c r="O152" s="199">
        <f t="shared" si="102"/>
        <v>218.77616239495524</v>
      </c>
      <c r="P152" s="189" t="str">
        <f t="shared" si="103"/>
        <v>120,833333333333</v>
      </c>
      <c r="Q152" s="160" t="str">
        <f t="shared" si="104"/>
        <v>1+1,225694959133i</v>
      </c>
      <c r="R152" s="160">
        <f t="shared" si="112"/>
        <v>1.5818748790103618</v>
      </c>
      <c r="S152" s="160">
        <f t="shared" si="113"/>
        <v>0.88645698206737134</v>
      </c>
      <c r="T152" s="160" t="str">
        <f t="shared" si="105"/>
        <v>1+0,000082476670147267i</v>
      </c>
      <c r="U152" s="160">
        <f t="shared" si="114"/>
        <v>1.0000000034012004</v>
      </c>
      <c r="V152" s="160">
        <f t="shared" si="115"/>
        <v>8.2476669960253874E-5</v>
      </c>
      <c r="W152" s="98" t="str">
        <f t="shared" si="106"/>
        <v>1-0,000706000296460606i</v>
      </c>
      <c r="X152" s="160">
        <f t="shared" si="116"/>
        <v>1.0000002492181783</v>
      </c>
      <c r="Y152" s="160">
        <f t="shared" si="117"/>
        <v>-7.0600017916188794E-4</v>
      </c>
      <c r="Z152" s="98" t="str">
        <f t="shared" si="107"/>
        <v>0,999999960443794+0,000273460030609492i</v>
      </c>
      <c r="AA152" s="160">
        <f t="shared" si="118"/>
        <v>0.99999999783398907</v>
      </c>
      <c r="AB152" s="160">
        <f t="shared" si="119"/>
        <v>2.7346003461005077E-4</v>
      </c>
      <c r="AC152" s="171" t="str">
        <f t="shared" si="120"/>
        <v>48,2352679228852-59,230110270135i</v>
      </c>
      <c r="AD152" s="190">
        <f t="shared" si="121"/>
        <v>37.660294751077771</v>
      </c>
      <c r="AE152" s="169">
        <f t="shared" si="122"/>
        <v>-50.841637163717621</v>
      </c>
      <c r="AF152" s="98" t="str">
        <f t="shared" si="108"/>
        <v>-0,0000375877424711299</v>
      </c>
      <c r="AG152" s="98" t="str">
        <f t="shared" si="109"/>
        <v>1,39248111431969E-06i</v>
      </c>
      <c r="AH152" s="98">
        <f t="shared" si="123"/>
        <v>1.39248111431969E-6</v>
      </c>
      <c r="AI152" s="98">
        <f t="shared" si="124"/>
        <v>1.5707963267948966</v>
      </c>
      <c r="AJ152" s="98" t="str">
        <f t="shared" si="110"/>
        <v>1+0,00127012443662129i</v>
      </c>
      <c r="AK152" s="98">
        <f t="shared" si="125"/>
        <v>1.0000008066077168</v>
      </c>
      <c r="AL152" s="98">
        <f t="shared" si="126"/>
        <v>1.2701237536268944E-3</v>
      </c>
      <c r="AM152" s="98" t="str">
        <f t="shared" si="111"/>
        <v>1+0,0989720041767206i</v>
      </c>
      <c r="AN152" s="98">
        <f t="shared" si="127"/>
        <v>1.0048857933172093</v>
      </c>
      <c r="AO152" s="98">
        <f t="shared" si="128"/>
        <v>9.8650731590106802E-2</v>
      </c>
      <c r="AP152" s="168" t="str">
        <f t="shared" si="129"/>
        <v>-2,63729764985451+26,9967085896039i</v>
      </c>
      <c r="AQ152" s="98">
        <f t="shared" si="130"/>
        <v>28.667465700502976</v>
      </c>
      <c r="AR152" s="169">
        <f t="shared" si="131"/>
        <v>95.57949783544889</v>
      </c>
      <c r="AS152" s="168" t="str">
        <f t="shared" si="132"/>
        <v>1471,80726795981+1458,40090247165i</v>
      </c>
      <c r="AT152" s="190">
        <f t="shared" si="133"/>
        <v>66.32776045158073</v>
      </c>
      <c r="AU152" s="169">
        <f t="shared" si="134"/>
        <v>44.737860671731291</v>
      </c>
      <c r="AV152" s="225"/>
      <c r="AX152">
        <f t="shared" si="135"/>
        <v>0</v>
      </c>
      <c r="AY152">
        <f t="shared" si="136"/>
        <v>0</v>
      </c>
    </row>
    <row r="153" spans="14:51" x14ac:dyDescent="0.25">
      <c r="N153" s="170">
        <v>35</v>
      </c>
      <c r="O153" s="199">
        <f t="shared" si="102"/>
        <v>223.87211385683412</v>
      </c>
      <c r="P153" s="189" t="str">
        <f t="shared" si="103"/>
        <v>120,833333333333</v>
      </c>
      <c r="Q153" s="160" t="str">
        <f t="shared" si="104"/>
        <v>1+1,25424506235465i</v>
      </c>
      <c r="R153" s="160">
        <f t="shared" si="112"/>
        <v>1.6040980881607645</v>
      </c>
      <c r="S153" s="160">
        <f t="shared" si="113"/>
        <v>0.89770856940899058</v>
      </c>
      <c r="T153" s="160" t="str">
        <f t="shared" si="105"/>
        <v>1+0,0000843977985883498i</v>
      </c>
      <c r="U153" s="160">
        <f t="shared" si="114"/>
        <v>1.0000000035614942</v>
      </c>
      <c r="V153" s="160">
        <f t="shared" si="115"/>
        <v>8.4397798387961617E-5</v>
      </c>
      <c r="W153" s="98" t="str">
        <f t="shared" si="106"/>
        <v>1-0,000722445155916275i</v>
      </c>
      <c r="X153" s="160">
        <f t="shared" si="116"/>
        <v>1.0000002609634677</v>
      </c>
      <c r="Y153" s="160">
        <f t="shared" si="117"/>
        <v>-7.2244503022843591E-4</v>
      </c>
      <c r="Z153" s="98" t="str">
        <f t="shared" si="107"/>
        <v>0,999999958579567+0,000279829732991574i</v>
      </c>
      <c r="AA153" s="160">
        <f t="shared" si="118"/>
        <v>0.99999999773190762</v>
      </c>
      <c r="AB153" s="160">
        <f t="shared" si="119"/>
        <v>2.7982973727825011E-4</v>
      </c>
      <c r="AC153" s="171" t="str">
        <f t="shared" si="120"/>
        <v>46,9055875279524-58,9420117015632i</v>
      </c>
      <c r="AD153" s="190">
        <f t="shared" si="121"/>
        <v>37.539119016925547</v>
      </c>
      <c r="AE153" s="169">
        <f t="shared" si="122"/>
        <v>-51.48750273630489</v>
      </c>
      <c r="AF153" s="98" t="str">
        <f t="shared" si="108"/>
        <v>-0,0000375877424711299</v>
      </c>
      <c r="AG153" s="98" t="str">
        <f t="shared" si="109"/>
        <v>1,42491616616664E-06i</v>
      </c>
      <c r="AH153" s="98">
        <f t="shared" si="123"/>
        <v>1.4249161661666401E-6</v>
      </c>
      <c r="AI153" s="98">
        <f t="shared" si="124"/>
        <v>1.5707963267948966</v>
      </c>
      <c r="AJ153" s="98" t="str">
        <f t="shared" si="110"/>
        <v>1+0,00129970943531911i</v>
      </c>
      <c r="AK153" s="98">
        <f t="shared" si="125"/>
        <v>1.0000008446219515</v>
      </c>
      <c r="AL153" s="98">
        <f t="shared" si="126"/>
        <v>1.299708703477463E-3</v>
      </c>
      <c r="AM153" s="98" t="str">
        <f t="shared" si="111"/>
        <v>1+0,10127735830602i</v>
      </c>
      <c r="AN153" s="98">
        <f t="shared" si="127"/>
        <v>1.0051154676480936</v>
      </c>
      <c r="AO153" s="98">
        <f t="shared" si="128"/>
        <v>0.10093320308198414</v>
      </c>
      <c r="AP153" s="168" t="str">
        <f t="shared" si="129"/>
        <v>-2,63729744934498+26,3823427496395i</v>
      </c>
      <c r="AQ153" s="98">
        <f t="shared" si="130"/>
        <v>28.469450369965461</v>
      </c>
      <c r="AR153" s="169">
        <f t="shared" si="131"/>
        <v>95.708578726028847</v>
      </c>
      <c r="AS153" s="168" t="str">
        <f t="shared" si="132"/>
        <v>1431,32436871641+1392,92690415545i</v>
      </c>
      <c r="AT153" s="190">
        <f t="shared" si="133"/>
        <v>66.008569386891025</v>
      </c>
      <c r="AU153" s="169">
        <f t="shared" si="134"/>
        <v>44.221075989723879</v>
      </c>
      <c r="AV153" s="225"/>
      <c r="AX153">
        <f t="shared" si="135"/>
        <v>0</v>
      </c>
      <c r="AY153">
        <f t="shared" si="136"/>
        <v>0</v>
      </c>
    </row>
    <row r="154" spans="14:51" x14ac:dyDescent="0.25">
      <c r="N154" s="170">
        <v>36</v>
      </c>
      <c r="O154" s="199">
        <f t="shared" si="102"/>
        <v>229.08676527677744</v>
      </c>
      <c r="P154" s="189" t="str">
        <f t="shared" si="103"/>
        <v>120,833333333333</v>
      </c>
      <c r="Q154" s="160" t="str">
        <f t="shared" si="104"/>
        <v>1+1,28346018291025i</v>
      </c>
      <c r="R154" s="160">
        <f t="shared" si="112"/>
        <v>1.627043343342768</v>
      </c>
      <c r="S154" s="160">
        <f t="shared" si="113"/>
        <v>0.90890260566423686</v>
      </c>
      <c r="T154" s="160" t="str">
        <f t="shared" si="105"/>
        <v>1+0,0000863636758593808i</v>
      </c>
      <c r="U154" s="160">
        <f t="shared" si="114"/>
        <v>1.0000000037293422</v>
      </c>
      <c r="V154" s="160">
        <f t="shared" si="115"/>
        <v>8.6363675644661E-5</v>
      </c>
      <c r="W154" s="98" t="str">
        <f t="shared" si="106"/>
        <v>1-0,0007392730653563i</v>
      </c>
      <c r="X154" s="160">
        <f t="shared" si="116"/>
        <v>1.0000002732622952</v>
      </c>
      <c r="Y154" s="160">
        <f t="shared" si="117"/>
        <v>-7.3927293067935608E-4</v>
      </c>
      <c r="Z154" s="98" t="str">
        <f t="shared" si="107"/>
        <v>0,999999956627483+0,000286347804802072i</v>
      </c>
      <c r="AA154" s="160">
        <f t="shared" si="118"/>
        <v>0.99999999762501657</v>
      </c>
      <c r="AB154" s="160">
        <f t="shared" si="119"/>
        <v>2.86347809395328E-4</v>
      </c>
      <c r="AC154" s="171" t="str">
        <f t="shared" si="120"/>
        <v>45,5894742239334-58,6257685032024i</v>
      </c>
      <c r="AD154" s="190">
        <f t="shared" si="121"/>
        <v>37.415755102204173</v>
      </c>
      <c r="AE154" s="169">
        <f t="shared" si="122"/>
        <v>-52.130098758673739</v>
      </c>
      <c r="AF154" s="98" t="str">
        <f t="shared" si="108"/>
        <v>-0,0000375877424711299</v>
      </c>
      <c r="AG154" s="98" t="str">
        <f t="shared" si="109"/>
        <v>1,45810672742588E-06i</v>
      </c>
      <c r="AH154" s="98">
        <f t="shared" si="123"/>
        <v>1.4581067274258799E-6</v>
      </c>
      <c r="AI154" s="98">
        <f t="shared" si="124"/>
        <v>1.5707963267948966</v>
      </c>
      <c r="AJ154" s="98" t="str">
        <f t="shared" si="110"/>
        <v>1+0,00132998355716322i</v>
      </c>
      <c r="AK154" s="98">
        <f t="shared" si="125"/>
        <v>1.0000008844277402</v>
      </c>
      <c r="AL154" s="98">
        <f t="shared" si="126"/>
        <v>1.3299827729808043E-3</v>
      </c>
      <c r="AM154" s="98" t="str">
        <f t="shared" si="111"/>
        <v>1+0,103636411031257i</v>
      </c>
      <c r="AN154" s="98">
        <f t="shared" si="127"/>
        <v>1.00535590995997</v>
      </c>
      <c r="AO154" s="98">
        <f t="shared" si="128"/>
        <v>0.10326774808596156</v>
      </c>
      <c r="AP154" s="168" t="str">
        <f t="shared" si="129"/>
        <v>-2,63729723938575+25,7819651769881i</v>
      </c>
      <c r="AQ154" s="98">
        <f t="shared" si="130"/>
        <v>28.271527602061258</v>
      </c>
      <c r="AR154" s="169">
        <f t="shared" si="131"/>
        <v>95.840603725428878</v>
      </c>
      <c r="AS154" s="168" t="str">
        <f t="shared" si="132"/>
        <v>1391,2545275079+1329,99981430901i</v>
      </c>
      <c r="AT154" s="190">
        <f t="shared" si="133"/>
        <v>65.687282704265428</v>
      </c>
      <c r="AU154" s="169">
        <f t="shared" si="134"/>
        <v>43.71050496675516</v>
      </c>
      <c r="AV154" s="225"/>
      <c r="AX154">
        <f t="shared" si="135"/>
        <v>0</v>
      </c>
      <c r="AY154">
        <f t="shared" si="136"/>
        <v>0</v>
      </c>
    </row>
    <row r="155" spans="14:51" x14ac:dyDescent="0.25">
      <c r="N155" s="170">
        <v>37</v>
      </c>
      <c r="O155" s="199">
        <f t="shared" si="102"/>
        <v>234.42288153199232</v>
      </c>
      <c r="P155" s="189" t="str">
        <f t="shared" si="103"/>
        <v>120,833333333333</v>
      </c>
      <c r="Q155" s="160" t="str">
        <f t="shared" si="104"/>
        <v>1+1,31335581104343i</v>
      </c>
      <c r="R155" s="160">
        <f t="shared" si="112"/>
        <v>1.6507281685370083</v>
      </c>
      <c r="S155" s="160">
        <f t="shared" si="113"/>
        <v>0.92003380516528477</v>
      </c>
      <c r="T155" s="160" t="str">
        <f t="shared" si="105"/>
        <v>1+0,0000883753442945104i</v>
      </c>
      <c r="U155" s="160">
        <f t="shared" si="114"/>
        <v>1.0000000039051007</v>
      </c>
      <c r="V155" s="160">
        <f t="shared" si="115"/>
        <v>8.8375344064433987E-5</v>
      </c>
      <c r="W155" s="98" t="str">
        <f t="shared" si="106"/>
        <v>1-0,00075649294716101i</v>
      </c>
      <c r="X155" s="160">
        <f t="shared" si="116"/>
        <v>1.0000002861407487</v>
      </c>
      <c r="Y155" s="160">
        <f t="shared" si="117"/>
        <v>-7.5649280285206672E-4</v>
      </c>
      <c r="Z155" s="98" t="str">
        <f t="shared" si="107"/>
        <v>0,999999954583399+0,000293017702008936i</v>
      </c>
      <c r="AA155" s="160">
        <f t="shared" si="118"/>
        <v>0.99999999751308677</v>
      </c>
      <c r="AB155" s="160">
        <f t="shared" si="119"/>
        <v>2.9301770693069857E-4</v>
      </c>
      <c r="AC155" s="171" t="str">
        <f t="shared" si="120"/>
        <v>44,2880946164625-58,2821636065229i</v>
      </c>
      <c r="AD155" s="190">
        <f t="shared" si="121"/>
        <v>37.290226418951285</v>
      </c>
      <c r="AE155" s="169">
        <f t="shared" si="122"/>
        <v>-52.769123033869533</v>
      </c>
      <c r="AF155" s="98" t="str">
        <f t="shared" si="108"/>
        <v>-0,0000375877424711299</v>
      </c>
      <c r="AG155" s="98" t="str">
        <f t="shared" si="109"/>
        <v>1,49207039617233E-06i</v>
      </c>
      <c r="AH155" s="98">
        <f t="shared" si="123"/>
        <v>1.49207039617233E-6</v>
      </c>
      <c r="AI155" s="98">
        <f t="shared" si="124"/>
        <v>1.5707963267948966</v>
      </c>
      <c r="AJ155" s="98" t="str">
        <f t="shared" si="110"/>
        <v>1+0,00136096285389374i</v>
      </c>
      <c r="AK155" s="98">
        <f t="shared" si="125"/>
        <v>1.000000926109516</v>
      </c>
      <c r="AL155" s="98">
        <f t="shared" si="126"/>
        <v>1.3609620136271849E-3</v>
      </c>
      <c r="AM155" s="98" t="str">
        <f t="shared" si="111"/>
        <v>1+0,106050413153413i</v>
      </c>
      <c r="AN155" s="98">
        <f t="shared" si="127"/>
        <v>1.0056076223507904</v>
      </c>
      <c r="AO155" s="98">
        <f t="shared" si="128"/>
        <v>0.10565550256496423</v>
      </c>
      <c r="AP155" s="168" t="str">
        <f t="shared" si="129"/>
        <v>-2,63729701953148+25,1952575435117i</v>
      </c>
      <c r="AQ155" s="98">
        <f t="shared" si="130"/>
        <v>28.073701666380014</v>
      </c>
      <c r="AR155" s="169">
        <f t="shared" si="131"/>
        <v>95.975636999847623</v>
      </c>
      <c r="AS155" s="168" t="str">
        <f t="shared" si="132"/>
        <v>1351,6332623267+1269,55732634452i</v>
      </c>
      <c r="AT155" s="190">
        <f t="shared" si="133"/>
        <v>65.36392808533131</v>
      </c>
      <c r="AU155" s="169">
        <f t="shared" si="134"/>
        <v>43.206513965978282</v>
      </c>
      <c r="AV155" s="225"/>
      <c r="AX155">
        <f t="shared" si="135"/>
        <v>0</v>
      </c>
      <c r="AY155">
        <f t="shared" si="136"/>
        <v>0</v>
      </c>
    </row>
    <row r="156" spans="14:51" x14ac:dyDescent="0.25">
      <c r="N156" s="170">
        <v>38</v>
      </c>
      <c r="O156" s="199">
        <f t="shared" si="102"/>
        <v>239.88329190194912</v>
      </c>
      <c r="P156" s="189" t="str">
        <f t="shared" si="103"/>
        <v>120,833333333333</v>
      </c>
      <c r="Q156" s="160" t="str">
        <f t="shared" si="104"/>
        <v>1+1,34394779781195i</v>
      </c>
      <c r="R156" s="160">
        <f t="shared" si="112"/>
        <v>1.675170344545172</v>
      </c>
      <c r="S156" s="160">
        <f t="shared" si="113"/>
        <v>0.93109703675389388</v>
      </c>
      <c r="T156" s="160" t="str">
        <f t="shared" si="105"/>
        <v>1+0,0000904338705069718i</v>
      </c>
      <c r="U156" s="160">
        <f t="shared" si="114"/>
        <v>1.0000000040891424</v>
      </c>
      <c r="V156" s="160">
        <f t="shared" si="115"/>
        <v>9.0433870260440472E-5</v>
      </c>
      <c r="W156" s="98" t="str">
        <f t="shared" si="106"/>
        <v>1-0,000774113931539679i</v>
      </c>
      <c r="X156" s="160">
        <f t="shared" si="116"/>
        <v>1.0000002996261446</v>
      </c>
      <c r="Y156" s="160">
        <f t="shared" si="117"/>
        <v>-7.7411377690986293E-4</v>
      </c>
      <c r="Z156" s="98" t="str">
        <f t="shared" si="107"/>
        <v>0,99999995244298+0,000299842961079956i</v>
      </c>
      <c r="AA156" s="160">
        <f t="shared" si="118"/>
        <v>0.99999999739588175</v>
      </c>
      <c r="AB156" s="160">
        <f t="shared" si="119"/>
        <v>2.9984296635371968E-4</v>
      </c>
      <c r="AC156" s="171" t="str">
        <f t="shared" si="120"/>
        <v>43,0025584785408-57,9120361319132i</v>
      </c>
      <c r="AD156" s="190">
        <f t="shared" si="121"/>
        <v>37.16255826220624</v>
      </c>
      <c r="AE156" s="169">
        <f t="shared" si="122"/>
        <v>-53.404282232813138</v>
      </c>
      <c r="AF156" s="98" t="str">
        <f t="shared" si="108"/>
        <v>-0,0000375877424711299</v>
      </c>
      <c r="AG156" s="98" t="str">
        <f t="shared" si="109"/>
        <v>1,52682518039271E-06i</v>
      </c>
      <c r="AH156" s="98">
        <f t="shared" si="123"/>
        <v>1.5268251803927101E-6</v>
      </c>
      <c r="AI156" s="98">
        <f t="shared" si="124"/>
        <v>1.5707963267948966</v>
      </c>
      <c r="AJ156" s="98" t="str">
        <f t="shared" si="110"/>
        <v>1+0,00139266375114389i</v>
      </c>
      <c r="AK156" s="98">
        <f t="shared" si="125"/>
        <v>1.0000009697556917</v>
      </c>
      <c r="AL156" s="98">
        <f t="shared" si="126"/>
        <v>1.3926628507821017E-3</v>
      </c>
      <c r="AM156" s="98" t="str">
        <f t="shared" si="111"/>
        <v>1+0,108520644608366i</v>
      </c>
      <c r="AN156" s="98">
        <f t="shared" si="127"/>
        <v>1.0058711300689642</v>
      </c>
      <c r="AO156" s="98">
        <f t="shared" si="128"/>
        <v>0.10809762357076014</v>
      </c>
      <c r="AP156" s="168" t="str">
        <f t="shared" si="129"/>
        <v>-2,63729678931586+24,6219087690556i</v>
      </c>
      <c r="AQ156" s="98">
        <f t="shared" si="130"/>
        <v>27.87597702493192</v>
      </c>
      <c r="AR156" s="169">
        <f t="shared" si="131"/>
        <v>96.113743902363964</v>
      </c>
      <c r="AS156" s="168" t="str">
        <f t="shared" si="132"/>
        <v>1312,4943608624+1211,53629864805i</v>
      </c>
      <c r="AT156" s="190">
        <f t="shared" si="133"/>
        <v>65.038535287138188</v>
      </c>
      <c r="AU156" s="169">
        <f t="shared" si="134"/>
        <v>42.709461669550763</v>
      </c>
      <c r="AV156" s="225"/>
      <c r="AX156">
        <f t="shared" si="135"/>
        <v>0</v>
      </c>
      <c r="AY156">
        <f t="shared" si="136"/>
        <v>0</v>
      </c>
    </row>
    <row r="157" spans="14:51" x14ac:dyDescent="0.25">
      <c r="N157" s="170">
        <v>39</v>
      </c>
      <c r="O157" s="199">
        <f t="shared" si="102"/>
        <v>245.4708915685033</v>
      </c>
      <c r="P157" s="189" t="str">
        <f t="shared" si="103"/>
        <v>120,833333333333</v>
      </c>
      <c r="Q157" s="160" t="str">
        <f t="shared" si="104"/>
        <v>1+1,37525236349212i</v>
      </c>
      <c r="R157" s="160">
        <f t="shared" si="112"/>
        <v>1.7003879155330004</v>
      </c>
      <c r="S157" s="160">
        <f t="shared" si="113"/>
        <v>0.94208733402723899</v>
      </c>
      <c r="T157" s="160" t="str">
        <f t="shared" si="105"/>
        <v>1+0,0000925403459546092i</v>
      </c>
      <c r="U157" s="160">
        <f t="shared" si="114"/>
        <v>1.0000000042818578</v>
      </c>
      <c r="V157" s="160">
        <f t="shared" si="115"/>
        <v>9.2540345690446136E-5</v>
      </c>
      <c r="W157" s="98" t="str">
        <f t="shared" si="106"/>
        <v>1-0,000792145361371456i</v>
      </c>
      <c r="X157" s="160">
        <f t="shared" si="116"/>
        <v>1.0000003137470876</v>
      </c>
      <c r="Y157" s="160">
        <f t="shared" si="117"/>
        <v>-7.9214519568262577E-4</v>
      </c>
      <c r="Z157" s="98" t="str">
        <f t="shared" si="107"/>
        <v>0,999999950201687+0,000306827200857829i</v>
      </c>
      <c r="AA157" s="160">
        <f t="shared" si="118"/>
        <v>0.99999999727315381</v>
      </c>
      <c r="AB157" s="160">
        <f t="shared" si="119"/>
        <v>3.068272065087685E-4</v>
      </c>
      <c r="AC157" s="171" t="str">
        <f t="shared" si="120"/>
        <v>41,7339155746489-57,5162765904543i</v>
      </c>
      <c r="AD157" s="190">
        <f t="shared" si="121"/>
        <v>37.03277771332246</v>
      </c>
      <c r="AE157" s="169">
        <f t="shared" si="122"/>
        <v>-54.035292481696395</v>
      </c>
      <c r="AF157" s="98" t="str">
        <f t="shared" si="108"/>
        <v>-0,0000375877424711299</v>
      </c>
      <c r="AG157" s="98" t="str">
        <f t="shared" si="109"/>
        <v>1,56238950753366E-06i</v>
      </c>
      <c r="AH157" s="98">
        <f t="shared" si="123"/>
        <v>1.56238950753366E-6</v>
      </c>
      <c r="AI157" s="98">
        <f t="shared" si="124"/>
        <v>1.5707963267948966</v>
      </c>
      <c r="AJ157" s="98" t="str">
        <f t="shared" si="110"/>
        <v>1+0,00142510305714897i</v>
      </c>
      <c r="AK157" s="98">
        <f t="shared" si="125"/>
        <v>1.0000010154588461</v>
      </c>
      <c r="AL157" s="98">
        <f t="shared" si="126"/>
        <v>1.4251020923939852E-3</v>
      </c>
      <c r="AM157" s="98" t="str">
        <f t="shared" si="111"/>
        <v>1+0,111048415145531i</v>
      </c>
      <c r="AN157" s="98">
        <f t="shared" si="127"/>
        <v>1.006146982555896</v>
      </c>
      <c r="AO157" s="98">
        <f t="shared" si="128"/>
        <v>0.11059528936717167</v>
      </c>
      <c r="AP157" s="168" t="str">
        <f t="shared" si="129"/>
        <v>-2,63729654825053+24,0616148565079i</v>
      </c>
      <c r="AQ157" s="98">
        <f t="shared" si="130"/>
        <v>27.678358340388517</v>
      </c>
      <c r="AR157" s="169">
        <f t="shared" si="131"/>
        <v>96.254990979497549</v>
      </c>
      <c r="AS157" s="168" t="str">
        <f t="shared" si="132"/>
        <v>1273,86978380989+1155,87288073145i</v>
      </c>
      <c r="AT157" s="190">
        <f t="shared" si="133"/>
        <v>64.711136053710987</v>
      </c>
      <c r="AU157" s="169">
        <f t="shared" si="134"/>
        <v>42.219698497801311</v>
      </c>
      <c r="AV157" s="225"/>
      <c r="AX157">
        <f t="shared" si="135"/>
        <v>0</v>
      </c>
      <c r="AY157">
        <f t="shared" si="136"/>
        <v>0</v>
      </c>
    </row>
    <row r="158" spans="14:51" x14ac:dyDescent="0.25">
      <c r="N158" s="170">
        <v>40</v>
      </c>
      <c r="O158" s="199">
        <f t="shared" si="102"/>
        <v>251.18864315095806</v>
      </c>
      <c r="P158" s="189" t="str">
        <f t="shared" si="103"/>
        <v>120,833333333333</v>
      </c>
      <c r="Q158" s="160" t="str">
        <f t="shared" si="104"/>
        <v>1+1,40728610617903i</v>
      </c>
      <c r="R158" s="160">
        <f t="shared" si="112"/>
        <v>1.7263991962013121</v>
      </c>
      <c r="S158" s="160">
        <f t="shared" si="113"/>
        <v>0.95299990465234874</v>
      </c>
      <c r="T158" s="160" t="str">
        <f t="shared" si="105"/>
        <v>1+0,0000946958875185886i</v>
      </c>
      <c r="U158" s="160">
        <f t="shared" si="114"/>
        <v>1.0000000044836554</v>
      </c>
      <c r="V158" s="160">
        <f t="shared" si="115"/>
        <v>9.4695887235532765E-5</v>
      </c>
      <c r="W158" s="98" t="str">
        <f t="shared" si="106"/>
        <v>1-0,000810596797159119i</v>
      </c>
      <c r="X158" s="160">
        <f t="shared" si="116"/>
        <v>1.0000003285335297</v>
      </c>
      <c r="Y158" s="160">
        <f t="shared" si="117"/>
        <v>-8.1059661962034181E-4</v>
      </c>
      <c r="Z158" s="98" t="str">
        <f t="shared" si="107"/>
        <v>0,999999947854765+0,000313974124478937i</v>
      </c>
      <c r="AA158" s="160">
        <f t="shared" si="118"/>
        <v>0.99999999714464172</v>
      </c>
      <c r="AB158" s="160">
        <f t="shared" si="119"/>
        <v>3.1397413053402772E-4</v>
      </c>
      <c r="AC158" s="171" t="str">
        <f t="shared" si="120"/>
        <v>40,4831529459905-57,0958219076144i</v>
      </c>
      <c r="AD158" s="190">
        <f t="shared" si="121"/>
        <v>36.900913538406655</v>
      </c>
      <c r="AE158" s="169">
        <f t="shared" si="122"/>
        <v>-54.66187989602124</v>
      </c>
      <c r="AF158" s="98" t="str">
        <f t="shared" si="108"/>
        <v>-0,0000375877424711299</v>
      </c>
      <c r="AG158" s="98" t="str">
        <f t="shared" si="109"/>
        <v>1,59878223427217E-06i</v>
      </c>
      <c r="AH158" s="98">
        <f t="shared" si="123"/>
        <v>1.5987822342721701E-6</v>
      </c>
      <c r="AI158" s="98">
        <f t="shared" si="124"/>
        <v>1.5707963267948966</v>
      </c>
      <c r="AJ158" s="98" t="str">
        <f t="shared" si="110"/>
        <v>1+0,00145829797165842i</v>
      </c>
      <c r="AK158" s="98">
        <f t="shared" si="125"/>
        <v>1.0000010633159218</v>
      </c>
      <c r="AL158" s="98">
        <f t="shared" si="126"/>
        <v>1.4582969379048883E-3</v>
      </c>
      <c r="AM158" s="98" t="str">
        <f t="shared" si="111"/>
        <v>1+0,113635065022306i</v>
      </c>
      <c r="AN158" s="98">
        <f t="shared" si="127"/>
        <v>1.0064357545331066</v>
      </c>
      <c r="AO158" s="98">
        <f t="shared" si="128"/>
        <v>0.11314969953174822</v>
      </c>
      <c r="AP158" s="168" t="str">
        <f t="shared" si="129"/>
        <v>-2,63729629582422+23,514078730618i</v>
      </c>
      <c r="AQ158" s="98">
        <f t="shared" si="130"/>
        <v>27.480850484636399</v>
      </c>
      <c r="AR158" s="169">
        <f t="shared" si="131"/>
        <v>96.399445976523765</v>
      </c>
      <c r="AS158" s="168" t="str">
        <f t="shared" si="132"/>
        <v>1235,78958221724+1102,50264525966i</v>
      </c>
      <c r="AT158" s="190">
        <f t="shared" si="133"/>
        <v>64.381764023043047</v>
      </c>
      <c r="AU158" s="169">
        <f t="shared" si="134"/>
        <v>41.737566080502553</v>
      </c>
      <c r="AV158" s="225"/>
      <c r="AX158">
        <f t="shared" si="135"/>
        <v>0</v>
      </c>
      <c r="AY158">
        <f t="shared" si="136"/>
        <v>0</v>
      </c>
    </row>
    <row r="159" spans="14:51" x14ac:dyDescent="0.25">
      <c r="N159" s="170">
        <v>41</v>
      </c>
      <c r="O159" s="199">
        <f t="shared" si="102"/>
        <v>257.03957827688663</v>
      </c>
      <c r="P159" s="189" t="str">
        <f t="shared" si="103"/>
        <v>120,833333333333</v>
      </c>
      <c r="Q159" s="160" t="str">
        <f t="shared" si="104"/>
        <v>1+1,44006601058707i</v>
      </c>
      <c r="R159" s="160">
        <f t="shared" si="112"/>
        <v>1.7532227795828343</v>
      </c>
      <c r="S159" s="160">
        <f t="shared" si="113"/>
        <v>0.963830138719876</v>
      </c>
      <c r="T159" s="160" t="str">
        <f t="shared" si="105"/>
        <v>1+0,000096901638095578i</v>
      </c>
      <c r="U159" s="160">
        <f t="shared" si="114"/>
        <v>1.0000000046949638</v>
      </c>
      <c r="V159" s="160">
        <f t="shared" si="115"/>
        <v>9.6901637792278219E-5</v>
      </c>
      <c r="W159" s="98" t="str">
        <f t="shared" si="106"/>
        <v>1-0,000829478022098148i</v>
      </c>
      <c r="X159" s="160">
        <f t="shared" si="116"/>
        <v>1.0000003440168355</v>
      </c>
      <c r="Y159" s="160">
        <f t="shared" si="117"/>
        <v>-8.294778318619243E-4</v>
      </c>
      <c r="Z159" s="98" t="str">
        <f t="shared" si="107"/>
        <v>0,999999945397236+0,000321287521336781i</v>
      </c>
      <c r="AA159" s="160">
        <f t="shared" si="118"/>
        <v>0.99999999701007325</v>
      </c>
      <c r="AB159" s="160">
        <f t="shared" si="119"/>
        <v>3.212875278249275E-4</v>
      </c>
      <c r="AC159" s="171" t="str">
        <f t="shared" si="120"/>
        <v>39,2511926638198-56,6516503177817i</v>
      </c>
      <c r="AD159" s="190">
        <f t="shared" si="121"/>
        <v>36.766996082655027</v>
      </c>
      <c r="AE159" s="169">
        <f t="shared" si="122"/>
        <v>-55.283781059604024</v>
      </c>
      <c r="AF159" s="98" t="str">
        <f t="shared" si="108"/>
        <v>-0,0000375877424711299</v>
      </c>
      <c r="AG159" s="98" t="str">
        <f t="shared" si="109"/>
        <v>1,63602265651368E-06i</v>
      </c>
      <c r="AH159" s="98">
        <f t="shared" si="123"/>
        <v>1.6360226565136801E-6</v>
      </c>
      <c r="AI159" s="98">
        <f t="shared" si="124"/>
        <v>1.5707963267948966</v>
      </c>
      <c r="AJ159" s="98" t="str">
        <f t="shared" si="110"/>
        <v>1+0,0014922660950553i</v>
      </c>
      <c r="AK159" s="98">
        <f t="shared" si="125"/>
        <v>1.0000011134284292</v>
      </c>
      <c r="AL159" s="98">
        <f t="shared" si="126"/>
        <v>1.4922649873685002E-3</v>
      </c>
      <c r="AM159" s="98" t="str">
        <f t="shared" si="111"/>
        <v>1+0,116281965714694i</v>
      </c>
      <c r="AN159" s="98">
        <f t="shared" si="127"/>
        <v>1.0067380471356355</v>
      </c>
      <c r="AO159" s="98">
        <f t="shared" si="128"/>
        <v>0.1157620750338791</v>
      </c>
      <c r="AP159" s="168" t="str">
        <f t="shared" si="129"/>
        <v>-2,63729603150146+22,9790100804819i</v>
      </c>
      <c r="AQ159" s="98">
        <f t="shared" si="130"/>
        <v>27.283458547649335</v>
      </c>
      <c r="AR159" s="169">
        <f t="shared" si="131"/>
        <v>96.547177841426645</v>
      </c>
      <c r="AS159" s="168" t="str">
        <f t="shared" si="132"/>
        <v>1198,28182908425+1051,36072445395i</v>
      </c>
      <c r="AT159" s="190">
        <f t="shared" si="133"/>
        <v>64.050454630304372</v>
      </c>
      <c r="AU159" s="169">
        <f t="shared" si="134"/>
        <v>41.263396781822735</v>
      </c>
      <c r="AV159" s="225"/>
      <c r="AX159">
        <f t="shared" si="135"/>
        <v>0</v>
      </c>
      <c r="AY159">
        <f t="shared" si="136"/>
        <v>0</v>
      </c>
    </row>
    <row r="160" spans="14:51" x14ac:dyDescent="0.25">
      <c r="N160" s="170">
        <v>42</v>
      </c>
      <c r="O160" s="199">
        <f t="shared" si="102"/>
        <v>263.02679918953817</v>
      </c>
      <c r="P160" s="189" t="str">
        <f t="shared" si="103"/>
        <v>120,833333333333</v>
      </c>
      <c r="Q160" s="160" t="str">
        <f t="shared" si="104"/>
        <v>1+1,47360945705545i</v>
      </c>
      <c r="R160" s="160">
        <f t="shared" si="112"/>
        <v>1.7808775454598946</v>
      </c>
      <c r="S160" s="160">
        <f t="shared" si="113"/>
        <v>0.97457361611723781</v>
      </c>
      <c r="T160" s="160" t="str">
        <f t="shared" si="105"/>
        <v>1+0,0000991587672037306i</v>
      </c>
      <c r="U160" s="160">
        <f t="shared" si="114"/>
        <v>1.0000000049162305</v>
      </c>
      <c r="V160" s="160">
        <f t="shared" si="115"/>
        <v>9.9158766878739034E-5</v>
      </c>
      <c r="W160" s="98" t="str">
        <f t="shared" si="106"/>
        <v>1-0,000848799047263935i</v>
      </c>
      <c r="X160" s="160">
        <f t="shared" si="116"/>
        <v>1.0000003602298464</v>
      </c>
      <c r="Y160" s="160">
        <f t="shared" si="117"/>
        <v>-8.4879884342215276E-4</v>
      </c>
      <c r="Z160" s="98" t="str">
        <f t="shared" si="107"/>
        <v>0,999999942823887+0,00032877126909118i</v>
      </c>
      <c r="AA160" s="160">
        <f t="shared" si="118"/>
        <v>0.99999999686916241</v>
      </c>
      <c r="AB160" s="160">
        <f t="shared" si="119"/>
        <v>3.2877127604335424E-4</v>
      </c>
      <c r="AC160" s="171" t="str">
        <f t="shared" si="120"/>
        <v>38,0388900521957-56,1847761779776i</v>
      </c>
      <c r="AD160" s="190">
        <f t="shared" si="121"/>
        <v>36.631057161361596</v>
      </c>
      <c r="AE160" s="169">
        <f t="shared" si="122"/>
        <v>-55.900743447402782</v>
      </c>
      <c r="AF160" s="98" t="str">
        <f t="shared" si="108"/>
        <v>-0,0000375877424711299</v>
      </c>
      <c r="AG160" s="98" t="str">
        <f t="shared" si="109"/>
        <v>1,67413051962299E-06i</v>
      </c>
      <c r="AH160" s="98">
        <f t="shared" si="123"/>
        <v>1.67413051962299E-6</v>
      </c>
      <c r="AI160" s="98">
        <f t="shared" si="124"/>
        <v>1.5707963267948966</v>
      </c>
      <c r="AJ160" s="98" t="str">
        <f t="shared" si="110"/>
        <v>1+0,00152702543768825i</v>
      </c>
      <c r="AK160" s="98">
        <f t="shared" si="125"/>
        <v>1.000001165902664</v>
      </c>
      <c r="AL160" s="98">
        <f t="shared" si="126"/>
        <v>1.5270242507805349E-3</v>
      </c>
      <c r="AM160" s="98" t="str">
        <f t="shared" si="111"/>
        <v>1+0,118990520644477i</v>
      </c>
      <c r="AN160" s="98">
        <f t="shared" si="127"/>
        <v>1.0070544890934372</v>
      </c>
      <c r="AO160" s="98">
        <f t="shared" si="128"/>
        <v>0.11843365828719254</v>
      </c>
      <c r="AP160" s="168" t="str">
        <f t="shared" si="129"/>
        <v>-2,63729575472161+22,4561252056164i</v>
      </c>
      <c r="AQ160" s="98">
        <f t="shared" si="130"/>
        <v>27.086187846688212</v>
      </c>
      <c r="AR160" s="169">
        <f t="shared" si="131"/>
        <v>96.698256727366882</v>
      </c>
      <c r="AS160" s="168" t="str">
        <f t="shared" si="132"/>
        <v>1161,37256525322+1002,38194938895i</v>
      </c>
      <c r="AT160" s="190">
        <f t="shared" si="133"/>
        <v>63.717245008049815</v>
      </c>
      <c r="AU160" s="169">
        <f t="shared" si="134"/>
        <v>40.797513279964214</v>
      </c>
      <c r="AV160" s="225"/>
      <c r="AX160">
        <f t="shared" si="135"/>
        <v>0</v>
      </c>
      <c r="AY160">
        <f t="shared" si="136"/>
        <v>0</v>
      </c>
    </row>
    <row r="161" spans="14:51" x14ac:dyDescent="0.25">
      <c r="N161" s="170">
        <v>43</v>
      </c>
      <c r="O161" s="199">
        <f t="shared" si="102"/>
        <v>269.15348039269179</v>
      </c>
      <c r="P161" s="189" t="str">
        <f t="shared" si="103"/>
        <v>120,833333333333</v>
      </c>
      <c r="Q161" s="160" t="str">
        <f t="shared" si="104"/>
        <v>1+1,50793423076349i</v>
      </c>
      <c r="R161" s="160">
        <f t="shared" si="112"/>
        <v>1.8093826693953601</v>
      </c>
      <c r="S161" s="160">
        <f t="shared" si="113"/>
        <v>0.98522611291024242</v>
      </c>
      <c r="T161" s="160" t="str">
        <f t="shared" si="105"/>
        <v>1+0,000101468471602776i</v>
      </c>
      <c r="U161" s="160">
        <f t="shared" si="114"/>
        <v>1.0000000051479254</v>
      </c>
      <c r="V161" s="160">
        <f t="shared" si="115"/>
        <v>1.0146847125454125E-4</v>
      </c>
      <c r="W161" s="98" t="str">
        <f t="shared" si="106"/>
        <v>1-0,000868570116919767i</v>
      </c>
      <c r="X161" s="160">
        <f t="shared" si="116"/>
        <v>1.0000003772069528</v>
      </c>
      <c r="Y161" s="160">
        <f t="shared" si="117"/>
        <v>-8.6856989849936651E-4</v>
      </c>
      <c r="Z161" s="98" t="str">
        <f t="shared" si="107"/>
        <v>0,99999994012926+0,000336429335724256i</v>
      </c>
      <c r="AA161" s="160">
        <f t="shared" si="118"/>
        <v>0.99999999672161066</v>
      </c>
      <c r="AB161" s="160">
        <f t="shared" si="119"/>
        <v>3.364293431736449E-4</v>
      </c>
      <c r="AC161" s="171" t="str">
        <f t="shared" si="120"/>
        <v>36,8470323761691-55,6962447478595i</v>
      </c>
      <c r="AD161" s="190">
        <f t="shared" si="121"/>
        <v>36.493129948373159</v>
      </c>
      <c r="AE161" s="169">
        <f t="shared" si="122"/>
        <v>-56.512525791544277</v>
      </c>
      <c r="AF161" s="98" t="str">
        <f t="shared" si="108"/>
        <v>-0,0000375877424711299</v>
      </c>
      <c r="AG161" s="98" t="str">
        <f t="shared" si="109"/>
        <v>1,71312602889354E-06i</v>
      </c>
      <c r="AH161" s="98">
        <f t="shared" si="123"/>
        <v>1.7131260288935401E-6</v>
      </c>
      <c r="AI161" s="98">
        <f t="shared" si="124"/>
        <v>1.5707963267948966</v>
      </c>
      <c r="AJ161" s="98" t="str">
        <f t="shared" si="110"/>
        <v>1+0,00156259442942084i</v>
      </c>
      <c r="AK161" s="98">
        <f t="shared" si="125"/>
        <v>1.0000012208499303</v>
      </c>
      <c r="AL161" s="98">
        <f t="shared" si="126"/>
        <v>1.5625931576263936E-3</v>
      </c>
      <c r="AM161" s="98" t="str">
        <f t="shared" si="111"/>
        <v>1+0,121762165923332i</v>
      </c>
      <c r="AN161" s="98">
        <f t="shared" si="127"/>
        <v>1.0073857379625448</v>
      </c>
      <c r="AO161" s="98">
        <f t="shared" si="128"/>
        <v>0.12116571317395571</v>
      </c>
      <c r="AP161" s="168" t="str">
        <f t="shared" si="129"/>
        <v>-2,6372954648976+21,9451468655372i</v>
      </c>
      <c r="AQ161" s="98">
        <f t="shared" si="130"/>
        <v>26.889043935834877</v>
      </c>
      <c r="AR161" s="169">
        <f t="shared" si="131"/>
        <v>96.852753993532318</v>
      </c>
      <c r="AS161" s="168" t="str">
        <f t="shared" si="132"/>
        <v>1125,08575947008+955,500990739592i</v>
      </c>
      <c r="AT161" s="190">
        <f t="shared" si="133"/>
        <v>63.382173884208051</v>
      </c>
      <c r="AU161" s="169">
        <f t="shared" si="134"/>
        <v>40.340228201987955</v>
      </c>
      <c r="AV161" s="225"/>
      <c r="AX161">
        <f t="shared" si="135"/>
        <v>0</v>
      </c>
      <c r="AY161">
        <f t="shared" si="136"/>
        <v>0</v>
      </c>
    </row>
    <row r="162" spans="14:51" x14ac:dyDescent="0.25">
      <c r="N162" s="170">
        <v>44</v>
      </c>
      <c r="O162" s="199">
        <f t="shared" si="102"/>
        <v>275.42287033381683</v>
      </c>
      <c r="P162" s="189" t="str">
        <f t="shared" si="103"/>
        <v>120,833333333333</v>
      </c>
      <c r="Q162" s="160" t="str">
        <f t="shared" si="104"/>
        <v>1+1,54305853116055i</v>
      </c>
      <c r="R162" s="160">
        <f t="shared" si="112"/>
        <v>1.8387576323668529</v>
      </c>
      <c r="S162" s="160">
        <f t="shared" si="113"/>
        <v>0.99578360673112298</v>
      </c>
      <c r="T162" s="160" t="str">
        <f t="shared" si="105"/>
        <v>1+0,00010383197592856i</v>
      </c>
      <c r="U162" s="160">
        <f t="shared" si="114"/>
        <v>1.0000000053905396</v>
      </c>
      <c r="V162" s="160">
        <f t="shared" si="115"/>
        <v>1.0383197555541975E-4</v>
      </c>
      <c r="W162" s="98" t="str">
        <f t="shared" si="106"/>
        <v>1-0,000888801713948474i</v>
      </c>
      <c r="X162" s="160">
        <f t="shared" si="116"/>
        <v>1.0000003949841654</v>
      </c>
      <c r="Y162" s="160">
        <f t="shared" si="117"/>
        <v>-8.8880147990680325E-4</v>
      </c>
      <c r="Z162" s="98" t="str">
        <f t="shared" si="107"/>
        <v>0,999999937307638+0,000344265781644301i</v>
      </c>
      <c r="AA162" s="160">
        <f t="shared" si="118"/>
        <v>0.99999999656710437</v>
      </c>
      <c r="AB162" s="160">
        <f t="shared" si="119"/>
        <v>3.442657896264653E-4</v>
      </c>
      <c r="AC162" s="171" t="str">
        <f t="shared" si="120"/>
        <v>35,676337986393-55,1871269812598i</v>
      </c>
      <c r="AD162" s="190">
        <f t="shared" si="121"/>
        <v>36.353248862753219</v>
      </c>
      <c r="AE162" s="169">
        <f t="shared" si="122"/>
        <v>-57.118898390430459</v>
      </c>
      <c r="AF162" s="98" t="str">
        <f t="shared" si="108"/>
        <v>-0,0000375877424711299</v>
      </c>
      <c r="AG162" s="98" t="str">
        <f t="shared" si="109"/>
        <v>1,75302986026052E-06i</v>
      </c>
      <c r="AH162" s="98">
        <f t="shared" si="123"/>
        <v>1.7530298602605199E-6</v>
      </c>
      <c r="AI162" s="98">
        <f t="shared" si="124"/>
        <v>1.5707963267948966</v>
      </c>
      <c r="AJ162" s="98" t="str">
        <f t="shared" si="110"/>
        <v>1+0,00159899192940329i</v>
      </c>
      <c r="AK162" s="98">
        <f t="shared" si="125"/>
        <v>1.000001278386778</v>
      </c>
      <c r="AL162" s="98">
        <f t="shared" si="126"/>
        <v>1.5989905666510822E-3</v>
      </c>
      <c r="AM162" s="98" t="str">
        <f t="shared" si="111"/>
        <v>1+0,124598371114272i</v>
      </c>
      <c r="AN162" s="98">
        <f t="shared" si="127"/>
        <v>1.0077324814078039</v>
      </c>
      <c r="AO162" s="98">
        <f t="shared" si="128"/>
        <v>0.12395952503903222</v>
      </c>
      <c r="AP162" s="168" t="str">
        <f t="shared" si="129"/>
        <v>-2,63729516141465+21,4458041327616i</v>
      </c>
      <c r="AQ162" s="98">
        <f t="shared" si="130"/>
        <v>26.692032615866836</v>
      </c>
      <c r="AR162" s="169">
        <f t="shared" si="131"/>
        <v>97.010742204232443</v>
      </c>
      <c r="AS162" s="168" t="str">
        <f t="shared" si="132"/>
        <v>1089,44328234143+910,652499590439i</v>
      </c>
      <c r="AT162" s="190">
        <f t="shared" si="133"/>
        <v>63.045281478620048</v>
      </c>
      <c r="AU162" s="169">
        <f t="shared" si="134"/>
        <v>39.891843813802062</v>
      </c>
      <c r="AV162" s="225"/>
      <c r="AX162">
        <f t="shared" si="135"/>
        <v>0</v>
      </c>
      <c r="AY162">
        <f t="shared" si="136"/>
        <v>0</v>
      </c>
    </row>
    <row r="163" spans="14:51" x14ac:dyDescent="0.25">
      <c r="N163" s="170">
        <v>45</v>
      </c>
      <c r="O163" s="199">
        <f t="shared" si="102"/>
        <v>281.83829312644554</v>
      </c>
      <c r="P163" s="189" t="str">
        <f t="shared" si="103"/>
        <v>120,833333333333</v>
      </c>
      <c r="Q163" s="160" t="str">
        <f t="shared" si="104"/>
        <v>1+1,57900098161563i</v>
      </c>
      <c r="R163" s="160">
        <f t="shared" si="112"/>
        <v>1.8690222309922169</v>
      </c>
      <c r="S163" s="160">
        <f t="shared" si="113"/>
        <v>1.0062422811793039</v>
      </c>
      <c r="T163" s="160" t="str">
        <f t="shared" si="105"/>
        <v>1+0,000106250533342359i</v>
      </c>
      <c r="U163" s="160">
        <f t="shared" si="114"/>
        <v>1.0000000056445879</v>
      </c>
      <c r="V163" s="160">
        <f t="shared" si="115"/>
        <v>1.0625053294253202E-4</v>
      </c>
      <c r="W163" s="98" t="str">
        <f t="shared" si="106"/>
        <v>1-0,000909504565410597i</v>
      </c>
      <c r="X163" s="160">
        <f t="shared" si="116"/>
        <v>1.0000004135991918</v>
      </c>
      <c r="Y163" s="160">
        <f t="shared" si="117"/>
        <v>-9.0950431463043423E-4</v>
      </c>
      <c r="Z163" s="98" t="str">
        <f t="shared" si="107"/>
        <v>0,999999934353038+0,000352284761838669i</v>
      </c>
      <c r="AA163" s="160">
        <f t="shared" si="118"/>
        <v>0.99999999640531678</v>
      </c>
      <c r="AB163" s="160">
        <f t="shared" si="119"/>
        <v>3.5228477039171208E-4</v>
      </c>
      <c r="AC163" s="171" t="str">
        <f t="shared" si="120"/>
        <v>34,5274559065362-54,6585143721205i</v>
      </c>
      <c r="AD163" s="190">
        <f t="shared" si="121"/>
        <v>36.211449454399947</v>
      </c>
      <c r="AE163" s="169">
        <f t="shared" si="122"/>
        <v>-57.719643361289215</v>
      </c>
      <c r="AF163" s="98" t="str">
        <f t="shared" si="108"/>
        <v>-0,0000375877424711299</v>
      </c>
      <c r="AG163" s="98" t="str">
        <f t="shared" si="109"/>
        <v>0,0000017938631712635i</v>
      </c>
      <c r="AH163" s="98">
        <f t="shared" si="123"/>
        <v>1.7938631712635001E-6</v>
      </c>
      <c r="AI163" s="98">
        <f t="shared" si="124"/>
        <v>1.5707963267948966</v>
      </c>
      <c r="AJ163" s="98" t="str">
        <f t="shared" si="110"/>
        <v>1+0,00163623723607187i</v>
      </c>
      <c r="AK163" s="98">
        <f t="shared" si="125"/>
        <v>1.0000013386352504</v>
      </c>
      <c r="AL163" s="98">
        <f t="shared" si="126"/>
        <v>1.6362357758566769E-3</v>
      </c>
      <c r="AM163" s="98" t="str">
        <f t="shared" si="111"/>
        <v>1+0,127500640010831i</v>
      </c>
      <c r="AN163" s="98">
        <f t="shared" si="127"/>
        <v>1.0080954385390162</v>
      </c>
      <c r="AO163" s="98">
        <f t="shared" si="128"/>
        <v>0.12681640065083177</v>
      </c>
      <c r="AP163" s="168" t="str">
        <f t="shared" si="129"/>
        <v>-2,63729484362907+20,9578322491602i</v>
      </c>
      <c r="AQ163" s="98">
        <f t="shared" si="130"/>
        <v>26.495159944480111</v>
      </c>
      <c r="AR163" s="169">
        <f t="shared" si="131"/>
        <v>97.172295126087874</v>
      </c>
      <c r="AS163" s="168" t="str">
        <f t="shared" si="132"/>
        <v>1054,46489377328+867,77124699348i</v>
      </c>
      <c r="AT163" s="190">
        <f t="shared" si="133"/>
        <v>62.706609398880069</v>
      </c>
      <c r="AU163" s="169">
        <f t="shared" si="134"/>
        <v>39.452651764798539</v>
      </c>
      <c r="AV163" s="225"/>
      <c r="AX163">
        <f t="shared" si="135"/>
        <v>0</v>
      </c>
      <c r="AY163">
        <f t="shared" si="136"/>
        <v>0</v>
      </c>
    </row>
    <row r="164" spans="14:51" x14ac:dyDescent="0.25">
      <c r="N164" s="170">
        <v>46</v>
      </c>
      <c r="O164" s="199">
        <f t="shared" si="102"/>
        <v>288.40315031266073</v>
      </c>
      <c r="P164" s="189" t="str">
        <f t="shared" si="103"/>
        <v>120,833333333333</v>
      </c>
      <c r="Q164" s="160" t="str">
        <f t="shared" si="104"/>
        <v>1+1,6157806392917i</v>
      </c>
      <c r="R164" s="160">
        <f t="shared" si="112"/>
        <v>1.9001965883323479</v>
      </c>
      <c r="S164" s="160">
        <f t="shared" si="113"/>
        <v>1.0165985292491004</v>
      </c>
      <c r="T164" s="160" t="str">
        <f t="shared" si="105"/>
        <v>1+0,000108725426195329i</v>
      </c>
      <c r="U164" s="160">
        <f t="shared" si="114"/>
        <v>1.0000000059106091</v>
      </c>
      <c r="V164" s="160">
        <f t="shared" si="115"/>
        <v>1.0872542576690668E-4</v>
      </c>
      <c r="W164" s="98" t="str">
        <f t="shared" si="106"/>
        <v>1-0,000930689648232017i</v>
      </c>
      <c r="X164" s="160">
        <f t="shared" si="116"/>
        <v>1.0000004330915169</v>
      </c>
      <c r="Y164" s="160">
        <f t="shared" si="117"/>
        <v>-9.306893795162374E-4</v>
      </c>
      <c r="Z164" s="98" t="str">
        <f t="shared" si="107"/>
        <v>0,999999931259193+0,000360490528076805i</v>
      </c>
      <c r="AA164" s="160">
        <f t="shared" si="118"/>
        <v>0.99999999623590563</v>
      </c>
      <c r="AB164" s="160">
        <f t="shared" si="119"/>
        <v>3.6049053724155543E-4</v>
      </c>
      <c r="AC164" s="171" t="str">
        <f t="shared" si="120"/>
        <v>33,4009658457326-54,1115138948061i</v>
      </c>
      <c r="AD164" s="190">
        <f t="shared" si="121"/>
        <v>36.067768289335859</v>
      </c>
      <c r="AE164" s="169">
        <f t="shared" si="122"/>
        <v>-58.314554836980292</v>
      </c>
      <c r="AF164" s="98" t="str">
        <f t="shared" si="108"/>
        <v>-0,0000375877424711299</v>
      </c>
      <c r="AG164" s="98" t="str">
        <f t="shared" si="109"/>
        <v>1,83564761226447E-06i</v>
      </c>
      <c r="AH164" s="98">
        <f t="shared" si="123"/>
        <v>1.8356476122644699E-6</v>
      </c>
      <c r="AI164" s="98">
        <f t="shared" si="124"/>
        <v>1.5707963267948966</v>
      </c>
      <c r="AJ164" s="98" t="str">
        <f t="shared" si="110"/>
        <v>1+0,00167435009738118i</v>
      </c>
      <c r="AK164" s="98">
        <f t="shared" si="125"/>
        <v>1.000001401723142</v>
      </c>
      <c r="AL164" s="98">
        <f t="shared" si="126"/>
        <v>1.6743485327325291E-3</v>
      </c>
      <c r="AM164" s="98" t="str">
        <f t="shared" si="111"/>
        <v>1+0,130470511434395i</v>
      </c>
      <c r="AN164" s="98">
        <f t="shared" si="127"/>
        <v>1.0084753613023734</v>
      </c>
      <c r="AO164" s="98">
        <f t="shared" si="128"/>
        <v>0.12973766812650539</v>
      </c>
      <c r="AP164" s="168" t="str">
        <f t="shared" si="129"/>
        <v>-2,63729451086682+20,4809724855781i</v>
      </c>
      <c r="AQ164" s="98">
        <f t="shared" si="130"/>
        <v>26.29843224686487</v>
      </c>
      <c r="AR164" s="169">
        <f t="shared" si="131"/>
        <v>97.337487723158219</v>
      </c>
      <c r="AS164" s="168" t="str">
        <f t="shared" si="132"/>
        <v>1020,1682433499+826,792261047649i</v>
      </c>
      <c r="AT164" s="190">
        <f t="shared" si="133"/>
        <v>62.366200536200722</v>
      </c>
      <c r="AU164" s="169">
        <f t="shared" si="134"/>
        <v>39.022932886177919</v>
      </c>
      <c r="AV164" s="225"/>
      <c r="AX164">
        <f t="shared" si="135"/>
        <v>0</v>
      </c>
      <c r="AY164">
        <f t="shared" si="136"/>
        <v>0</v>
      </c>
    </row>
    <row r="165" spans="14:51" x14ac:dyDescent="0.25">
      <c r="N165" s="170">
        <v>47</v>
      </c>
      <c r="O165" s="199">
        <f t="shared" si="102"/>
        <v>295.12092266663871</v>
      </c>
      <c r="P165" s="189" t="str">
        <f t="shared" si="103"/>
        <v>120,833333333333</v>
      </c>
      <c r="Q165" s="160" t="str">
        <f t="shared" si="104"/>
        <v>1+1,65341700525012i</v>
      </c>
      <c r="R165" s="160">
        <f t="shared" si="112"/>
        <v>1.9323011652561501</v>
      </c>
      <c r="S165" s="160">
        <f t="shared" si="113"/>
        <v>1.0268489558059051</v>
      </c>
      <c r="T165" s="160" t="str">
        <f t="shared" si="105"/>
        <v>1+0,000111257966708418i</v>
      </c>
      <c r="U165" s="160">
        <f t="shared" si="114"/>
        <v>1.0000000061891676</v>
      </c>
      <c r="V165" s="160">
        <f t="shared" si="115"/>
        <v>1.1125796624935519E-4</v>
      </c>
      <c r="W165" s="98" t="str">
        <f t="shared" si="106"/>
        <v>1-0,000952368195024062i</v>
      </c>
      <c r="X165" s="160">
        <f t="shared" si="116"/>
        <v>1.0000004535024867</v>
      </c>
      <c r="Y165" s="160">
        <f t="shared" si="117"/>
        <v>-9.5236790708992365E-4</v>
      </c>
      <c r="Z165" s="98" t="str">
        <f t="shared" si="107"/>
        <v>0,999999928019538+0,000368887431164582i</v>
      </c>
      <c r="AA165" s="160">
        <f t="shared" si="118"/>
        <v>0.99999999605850909</v>
      </c>
      <c r="AB165" s="160">
        <f t="shared" si="119"/>
        <v>3.6888744098478919E-4</v>
      </c>
      <c r="AC165" s="171" t="str">
        <f t="shared" si="120"/>
        <v>32,2973786146412-53,5472430755295i</v>
      </c>
      <c r="AD165" s="190">
        <f t="shared" si="121"/>
        <v>35.922242835354872</v>
      </c>
      <c r="AE165" s="169">
        <f t="shared" si="122"/>
        <v>-58.903439108294322</v>
      </c>
      <c r="AF165" s="98" t="str">
        <f t="shared" si="108"/>
        <v>-0,0000375877424711299</v>
      </c>
      <c r="AG165" s="98" t="str">
        <f t="shared" si="109"/>
        <v>1,87840533792713E-06i</v>
      </c>
      <c r="AH165" s="98">
        <f t="shared" si="123"/>
        <v>1.8784053379271299E-6</v>
      </c>
      <c r="AI165" s="98">
        <f t="shared" si="124"/>
        <v>1.5707963267948966</v>
      </c>
      <c r="AJ165" s="98" t="str">
        <f t="shared" si="110"/>
        <v>1+0,00171335072127475i</v>
      </c>
      <c r="AK165" s="98">
        <f t="shared" si="125"/>
        <v>1.0000014677842699</v>
      </c>
      <c r="AL165" s="98">
        <f t="shared" si="126"/>
        <v>1.7133490447236476E-3</v>
      </c>
      <c r="AM165" s="98" t="str">
        <f t="shared" si="111"/>
        <v>1+0,133509560050102i</v>
      </c>
      <c r="AN165" s="98">
        <f t="shared" si="127"/>
        <v>1.0088730359290865</v>
      </c>
      <c r="AO165" s="98">
        <f t="shared" si="128"/>
        <v>0.13272467681849062</v>
      </c>
      <c r="AP165" s="168" t="str">
        <f t="shared" si="129"/>
        <v>-2,63729416242204+20,014972004653i</v>
      </c>
      <c r="AQ165" s="98">
        <f t="shared" si="130"/>
        <v>26.101856126639809</v>
      </c>
      <c r="AR165" s="169">
        <f t="shared" si="131"/>
        <v>97.506396149841919</v>
      </c>
      <c r="AS165" s="168" t="str">
        <f t="shared" si="132"/>
        <v>986,568883001145+787,65096037261i</v>
      </c>
      <c r="AT165" s="190">
        <f t="shared" si="133"/>
        <v>62.024098961994689</v>
      </c>
      <c r="AU165" s="169">
        <f t="shared" si="134"/>
        <v>38.602957041547604</v>
      </c>
      <c r="AV165" s="225"/>
      <c r="AX165">
        <f t="shared" si="135"/>
        <v>0</v>
      </c>
      <c r="AY165">
        <f t="shared" si="136"/>
        <v>0</v>
      </c>
    </row>
    <row r="166" spans="14:51" x14ac:dyDescent="0.25">
      <c r="N166" s="170">
        <v>48</v>
      </c>
      <c r="O166" s="199">
        <f t="shared" si="102"/>
        <v>301.99517204020168</v>
      </c>
      <c r="P166" s="189" t="str">
        <f t="shared" si="103"/>
        <v>120,833333333333</v>
      </c>
      <c r="Q166" s="160" t="str">
        <f t="shared" si="104"/>
        <v>1+1,69193003479027i</v>
      </c>
      <c r="R166" s="160">
        <f t="shared" si="112"/>
        <v>1.9653567723508636</v>
      </c>
      <c r="S166" s="160">
        <f t="shared" si="113"/>
        <v>1.0369903791389838</v>
      </c>
      <c r="T166" s="160" t="str">
        <f t="shared" si="105"/>
        <v>1+0,00011384949766813i</v>
      </c>
      <c r="U166" s="160">
        <f t="shared" si="114"/>
        <v>1.0000000064808541</v>
      </c>
      <c r="V166" s="160">
        <f t="shared" si="115"/>
        <v>1.1384949717623535E-4</v>
      </c>
      <c r="W166" s="98" t="str">
        <f t="shared" si="106"/>
        <v>1-0,000974551700039193i</v>
      </c>
      <c r="X166" s="160">
        <f t="shared" si="116"/>
        <v>1.0000004748753952</v>
      </c>
      <c r="Y166" s="160">
        <f t="shared" si="117"/>
        <v>-9.7455139151221299E-4</v>
      </c>
      <c r="Z166" s="98" t="str">
        <f t="shared" si="107"/>
        <v>0,999999924627203+0,000377479923251166i</v>
      </c>
      <c r="AA166" s="160">
        <f t="shared" si="118"/>
        <v>0.99999999587275223</v>
      </c>
      <c r="AB166" s="160">
        <f t="shared" si="119"/>
        <v>3.7747993377370773E-4</v>
      </c>
      <c r="AC166" s="171" t="str">
        <f t="shared" si="120"/>
        <v>31,2171369205868-52,9668252280706i</v>
      </c>
      <c r="AD166" s="190">
        <f t="shared" si="121"/>
        <v>35.774911348674834</v>
      </c>
      <c r="AE166" s="169">
        <f t="shared" si="122"/>
        <v>-59.486114713355327</v>
      </c>
      <c r="AF166" s="98" t="str">
        <f t="shared" si="108"/>
        <v>-0,0000375877424711299</v>
      </c>
      <c r="AG166" s="98" t="str">
        <f t="shared" si="109"/>
        <v>0,0000019221590189636i</v>
      </c>
      <c r="AH166" s="98">
        <f t="shared" si="123"/>
        <v>1.9221590189636001E-6</v>
      </c>
      <c r="AI166" s="98">
        <f t="shared" si="124"/>
        <v>1.5707963267948966</v>
      </c>
      <c r="AJ166" s="98" t="str">
        <f t="shared" si="110"/>
        <v>1+0,00175325978639963i</v>
      </c>
      <c r="AK166" s="98">
        <f t="shared" si="125"/>
        <v>1.0000015369587583</v>
      </c>
      <c r="AL166" s="98">
        <f t="shared" si="126"/>
        <v>1.7532579899429065E-3</v>
      </c>
      <c r="AM166" s="98" t="str">
        <f t="shared" si="111"/>
        <v>1+0,136619397201756i</v>
      </c>
      <c r="AN166" s="98">
        <f t="shared" si="127"/>
        <v>1.0092892844431527</v>
      </c>
      <c r="AO166" s="98">
        <f t="shared" si="128"/>
        <v>0.13577879715935581</v>
      </c>
      <c r="AP166" s="168" t="str">
        <f t="shared" si="129"/>
        <v>-2,63729379755565+19,5595837267579i</v>
      </c>
      <c r="AQ166" s="98">
        <f t="shared" si="130"/>
        <v>25.90543847715001</v>
      </c>
      <c r="AR166" s="169">
        <f t="shared" si="131"/>
        <v>97.679097741372644</v>
      </c>
      <c r="AS166" s="168" t="str">
        <f t="shared" si="132"/>
        <v>953,68029121089+750,283282958088i</v>
      </c>
      <c r="AT166" s="190">
        <f t="shared" si="133"/>
        <v>61.680349825824841</v>
      </c>
      <c r="AU166" s="169">
        <f t="shared" si="134"/>
        <v>38.192983028017359</v>
      </c>
      <c r="AV166" s="225"/>
      <c r="AX166">
        <f t="shared" si="135"/>
        <v>0</v>
      </c>
      <c r="AY166">
        <f t="shared" si="136"/>
        <v>0</v>
      </c>
    </row>
    <row r="167" spans="14:51" x14ac:dyDescent="0.25">
      <c r="N167" s="170">
        <v>49</v>
      </c>
      <c r="O167" s="199">
        <f t="shared" si="102"/>
        <v>309.02954325135937</v>
      </c>
      <c r="P167" s="189" t="str">
        <f t="shared" si="103"/>
        <v>120,833333333333</v>
      </c>
      <c r="Q167" s="160" t="str">
        <f t="shared" si="104"/>
        <v>1+1,73134014803022i</v>
      </c>
      <c r="R167" s="160">
        <f t="shared" si="112"/>
        <v>1.9993845823606085</v>
      </c>
      <c r="S167" s="160">
        <f t="shared" si="113"/>
        <v>1.0470198316251187</v>
      </c>
      <c r="T167" s="160" t="str">
        <f t="shared" si="105"/>
        <v>1+0,000116501393138481i</v>
      </c>
      <c r="U167" s="160">
        <f t="shared" si="114"/>
        <v>1.0000000067862873</v>
      </c>
      <c r="V167" s="160">
        <f t="shared" si="115"/>
        <v>1.1650139261140639E-4</v>
      </c>
      <c r="W167" s="98" t="str">
        <f t="shared" si="106"/>
        <v>1-0,000997251925265401i</v>
      </c>
      <c r="X167" s="160">
        <f t="shared" si="116"/>
        <v>1.0000004972555776</v>
      </c>
      <c r="Y167" s="160">
        <f t="shared" si="117"/>
        <v>-9.9725159467279473E-4</v>
      </c>
      <c r="Z167" s="98" t="str">
        <f t="shared" si="107"/>
        <v>0,999999921074993+0,000386272560189595i</v>
      </c>
      <c r="AA167" s="160">
        <f t="shared" si="118"/>
        <v>0.99999999567824138</v>
      </c>
      <c r="AB167" s="160">
        <f t="shared" si="119"/>
        <v>3.8627257146470141E-4</v>
      </c>
      <c r="AC167" s="171" t="str">
        <f t="shared" si="120"/>
        <v>30,1606165146665-52,3713848831869i</v>
      </c>
      <c r="AD167" s="190">
        <f t="shared" si="121"/>
        <v>35.625812762199985</v>
      </c>
      <c r="AE167" s="169">
        <f t="shared" si="122"/>
        <v>-60.062412476087424</v>
      </c>
      <c r="AF167" s="98" t="str">
        <f t="shared" si="108"/>
        <v>-0,0000375877424711299</v>
      </c>
      <c r="AG167" s="98" t="str">
        <f t="shared" si="109"/>
        <v>0,0000019669318541547i</v>
      </c>
      <c r="AH167" s="98">
        <f t="shared" si="123"/>
        <v>1.9669318541546999E-6</v>
      </c>
      <c r="AI167" s="98">
        <f t="shared" si="124"/>
        <v>1.5707963267948966</v>
      </c>
      <c r="AJ167" s="98" t="str">
        <f t="shared" si="110"/>
        <v>1+0,00179409845307039i</v>
      </c>
      <c r="AK167" s="98">
        <f t="shared" si="125"/>
        <v>1.0000016093933346</v>
      </c>
      <c r="AL167" s="98">
        <f t="shared" si="126"/>
        <v>1.7940965281324974E-3</v>
      </c>
      <c r="AM167" s="98" t="str">
        <f t="shared" si="111"/>
        <v>1+0,139801671766178i</v>
      </c>
      <c r="AN167" s="98">
        <f t="shared" si="127"/>
        <v>1.0097249662302197</v>
      </c>
      <c r="AO167" s="98">
        <f t="shared" si="128"/>
        <v>0.13890142046168885</v>
      </c>
      <c r="AP167" s="168" t="str">
        <f t="shared" si="129"/>
        <v>-2,63729341549377+19,1145661989962i</v>
      </c>
      <c r="AQ167" s="98">
        <f t="shared" si="130"/>
        <v>25.709186493131618</v>
      </c>
      <c r="AR167" s="169">
        <f t="shared" si="131"/>
        <v>97.855671001725796</v>
      </c>
      <c r="AS167" s="168" t="str">
        <f t="shared" si="132"/>
        <v>921,513907941422+714,62580948485i</v>
      </c>
      <c r="AT167" s="190">
        <f t="shared" si="133"/>
        <v>61.334999255331596</v>
      </c>
      <c r="AU167" s="169">
        <f t="shared" si="134"/>
        <v>37.793258525638407</v>
      </c>
      <c r="AV167" s="225"/>
      <c r="AX167">
        <f t="shared" si="135"/>
        <v>0</v>
      </c>
      <c r="AY167">
        <f t="shared" si="136"/>
        <v>0</v>
      </c>
    </row>
    <row r="168" spans="14:51" x14ac:dyDescent="0.25">
      <c r="N168" s="170">
        <v>50</v>
      </c>
      <c r="O168" s="199">
        <f t="shared" si="102"/>
        <v>316.22776601683825</v>
      </c>
      <c r="P168" s="189" t="str">
        <f t="shared" si="103"/>
        <v>120,833333333333</v>
      </c>
      <c r="Q168" s="160" t="str">
        <f t="shared" si="104"/>
        <v>1+1,77166824073364i</v>
      </c>
      <c r="R168" s="160">
        <f t="shared" si="112"/>
        <v>2.034406143134706</v>
      </c>
      <c r="S168" s="160">
        <f t="shared" si="113"/>
        <v>1.0569345595423603</v>
      </c>
      <c r="T168" s="160" t="str">
        <f t="shared" si="105"/>
        <v>1+0,000119215059189553i</v>
      </c>
      <c r="U168" s="160">
        <f t="shared" si="114"/>
        <v>1.000000007106115</v>
      </c>
      <c r="V168" s="160">
        <f t="shared" si="115"/>
        <v>1.1921505862478237E-4</v>
      </c>
      <c r="W168" s="98" t="str">
        <f t="shared" si="106"/>
        <v>1-0,00102048090666257i</v>
      </c>
      <c r="X168" s="160">
        <f t="shared" si="116"/>
        <v>1.0000005206905047</v>
      </c>
      <c r="Y168" s="160">
        <f t="shared" si="117"/>
        <v>-1.02048055242622E-3</v>
      </c>
      <c r="Z168" s="98" t="str">
        <f t="shared" si="107"/>
        <v>0,999999917355372+0,000395270003952358i</v>
      </c>
      <c r="AA168" s="160">
        <f t="shared" si="118"/>
        <v>0.99999999547456331</v>
      </c>
      <c r="AB168" s="160">
        <f t="shared" si="119"/>
        <v>3.9527001603385217E-4</v>
      </c>
      <c r="AC168" s="171" t="str">
        <f t="shared" si="120"/>
        <v>29,1281276616958-51,7620434372036i</v>
      </c>
      <c r="AD168" s="190">
        <f t="shared" si="121"/>
        <v>35.474986575952492</v>
      </c>
      <c r="AE168" s="169">
        <f t="shared" si="122"/>
        <v>-60.632175495998247</v>
      </c>
      <c r="AF168" s="98" t="str">
        <f t="shared" si="108"/>
        <v>-0,0000375877424711299</v>
      </c>
      <c r="AG168" s="98" t="str">
        <f t="shared" si="109"/>
        <v>2,01274758265029E-06i</v>
      </c>
      <c r="AH168" s="98">
        <f t="shared" si="123"/>
        <v>2.0127475826502899E-6</v>
      </c>
      <c r="AI168" s="98">
        <f t="shared" si="124"/>
        <v>1.5707963267948966</v>
      </c>
      <c r="AJ168" s="98" t="str">
        <f t="shared" si="110"/>
        <v>1+0,00183588837448867i</v>
      </c>
      <c r="AK168" s="98">
        <f t="shared" si="125"/>
        <v>1.0000016852416418</v>
      </c>
      <c r="AL168" s="98">
        <f t="shared" si="126"/>
        <v>1.8358863118807444E-3</v>
      </c>
      <c r="AM168" s="98" t="str">
        <f t="shared" si="111"/>
        <v>1+0,143058071027464i</v>
      </c>
      <c r="AN168" s="98">
        <f t="shared" si="127"/>
        <v>1.0101809796695338</v>
      </c>
      <c r="AO168" s="98">
        <f t="shared" si="128"/>
        <v>0.14209395866963354</v>
      </c>
      <c r="AP168" s="168" t="str">
        <f t="shared" si="129"/>
        <v>-2,63729301542598+18,6796834671797i</v>
      </c>
      <c r="AQ168" s="98">
        <f t="shared" si="130"/>
        <v>25.513107682746035</v>
      </c>
      <c r="AR168" s="169">
        <f t="shared" si="131"/>
        <v>98.036195588739773</v>
      </c>
      <c r="AS168" s="168" t="str">
        <f t="shared" si="132"/>
        <v>890,079179386743+680,615880333192i</v>
      </c>
      <c r="AT168" s="190">
        <f t="shared" si="133"/>
        <v>60.988094258698531</v>
      </c>
      <c r="AU168" s="169">
        <f t="shared" si="134"/>
        <v>37.404020092741533</v>
      </c>
      <c r="AV168" s="225"/>
      <c r="AX168">
        <f t="shared" si="135"/>
        <v>0</v>
      </c>
      <c r="AY168">
        <f t="shared" si="136"/>
        <v>0</v>
      </c>
    </row>
    <row r="169" spans="14:51" x14ac:dyDescent="0.25">
      <c r="N169" s="170">
        <v>51</v>
      </c>
      <c r="O169" s="199">
        <f t="shared" si="102"/>
        <v>323.59365692962825</v>
      </c>
      <c r="P169" s="189" t="str">
        <f t="shared" si="103"/>
        <v>120,833333333333</v>
      </c>
      <c r="Q169" s="160" t="str">
        <f t="shared" si="104"/>
        <v>1+1,81293569538911i</v>
      </c>
      <c r="R169" s="160">
        <f t="shared" si="112"/>
        <v>2.0704433910677191</v>
      </c>
      <c r="S169" s="160">
        <f t="shared" si="113"/>
        <v>1.066732022077846</v>
      </c>
      <c r="T169" s="160" t="str">
        <f t="shared" si="105"/>
        <v>1+0,000121991934643005i</v>
      </c>
      <c r="U169" s="160">
        <f t="shared" si="114"/>
        <v>1.000000007441016</v>
      </c>
      <c r="V169" s="160">
        <f t="shared" si="115"/>
        <v>1.2199193403784238E-4</v>
      </c>
      <c r="W169" s="98" t="str">
        <f t="shared" si="106"/>
        <v>1-0,00104425096054412i</v>
      </c>
      <c r="X169" s="160">
        <f t="shared" si="116"/>
        <v>1.0000005452298857</v>
      </c>
      <c r="Y169" s="160">
        <f t="shared" si="117"/>
        <v>-1.0442505809730436E-3</v>
      </c>
      <c r="Z169" s="98" t="str">
        <f t="shared" si="107"/>
        <v>0,999999913460451+0,000404477025103233i</v>
      </c>
      <c r="AA169" s="160">
        <f t="shared" si="118"/>
        <v>0.99999999526128669</v>
      </c>
      <c r="AB169" s="160">
        <f t="shared" si="119"/>
        <v>4.0447703804878703E-4</v>
      </c>
      <c r="AC169" s="171" t="str">
        <f t="shared" si="120"/>
        <v>28,119916902369-51,1399150412784i</v>
      </c>
      <c r="AD169" s="190">
        <f t="shared" si="121"/>
        <v>35.322472750179692</v>
      </c>
      <c r="AE169" s="169">
        <f t="shared" si="122"/>
        <v>-61.195259091795798</v>
      </c>
      <c r="AF169" s="98" t="str">
        <f t="shared" si="108"/>
        <v>-0,0000375877424711299</v>
      </c>
      <c r="AG169" s="98" t="str">
        <f t="shared" si="109"/>
        <v>2,05963049655607E-06i</v>
      </c>
      <c r="AH169" s="98">
        <f t="shared" si="123"/>
        <v>2.0596304965560702E-6</v>
      </c>
      <c r="AI169" s="98">
        <f t="shared" si="124"/>
        <v>1.5707963267948966</v>
      </c>
      <c r="AJ169" s="98" t="str">
        <f t="shared" si="110"/>
        <v>1+0,00187865170822396i</v>
      </c>
      <c r="AK169" s="98">
        <f t="shared" si="125"/>
        <v>1.0000017646645634</v>
      </c>
      <c r="AL169" s="98">
        <f t="shared" si="126"/>
        <v>1.8786494980999591E-3</v>
      </c>
      <c r="AM169" s="98" t="str">
        <f t="shared" si="111"/>
        <v>1+0,146390321571606i</v>
      </c>
      <c r="AN169" s="98">
        <f t="shared" si="127"/>
        <v>1.0106582638309738</v>
      </c>
      <c r="AO169" s="98">
        <f t="shared" si="128"/>
        <v>0.14535784405846977</v>
      </c>
      <c r="AP169" s="168" t="str">
        <f t="shared" si="129"/>
        <v>-2,6372925965037+18,2547049507232i</v>
      </c>
      <c r="AQ169" s="98">
        <f t="shared" si="130"/>
        <v>25.317209879986233</v>
      </c>
      <c r="AR169" s="169">
        <f t="shared" si="131"/>
        <v>98.220752296245578</v>
      </c>
      <c r="AS169" s="168" t="str">
        <f t="shared" si="132"/>
        <v>859,383611622672+648,191705615792i</v>
      </c>
      <c r="AT169" s="190">
        <f t="shared" si="133"/>
        <v>60.639682630165922</v>
      </c>
      <c r="AU169" s="169">
        <f t="shared" si="134"/>
        <v>37.025493204449788</v>
      </c>
      <c r="AV169" s="225"/>
      <c r="AX169">
        <f t="shared" si="135"/>
        <v>0</v>
      </c>
      <c r="AY169">
        <f t="shared" si="136"/>
        <v>0</v>
      </c>
    </row>
    <row r="170" spans="14:51" x14ac:dyDescent="0.25">
      <c r="N170" s="170">
        <v>52</v>
      </c>
      <c r="O170" s="199">
        <f t="shared" si="102"/>
        <v>331.13112148259137</v>
      </c>
      <c r="P170" s="189" t="str">
        <f t="shared" si="103"/>
        <v>120,833333333333</v>
      </c>
      <c r="Q170" s="160" t="str">
        <f t="shared" si="104"/>
        <v>1+1,85516439254732i</v>
      </c>
      <c r="R170" s="160">
        <f t="shared" si="112"/>
        <v>2.107518665012357</v>
      </c>
      <c r="S170" s="160">
        <f t="shared" si="113"/>
        <v>1.0764098895771483</v>
      </c>
      <c r="T170" s="160" t="str">
        <f t="shared" si="105"/>
        <v>1+0,000124833491834959i</v>
      </c>
      <c r="U170" s="160">
        <f t="shared" si="114"/>
        <v>1.0000000077917004</v>
      </c>
      <c r="V170" s="160">
        <f t="shared" si="115"/>
        <v>1.2483349118651556E-4</v>
      </c>
      <c r="W170" s="98" t="str">
        <f t="shared" si="106"/>
        <v>1-0,00106857469010725i</v>
      </c>
      <c r="X170" s="160">
        <f t="shared" si="116"/>
        <v>1.0000005709257713</v>
      </c>
      <c r="Y170" s="160">
        <f t="shared" si="117"/>
        <v>-1.0685742833895266E-3</v>
      </c>
      <c r="Z170" s="98" t="str">
        <f t="shared" si="107"/>
        <v>0,999999909381967+0,000413898505326707i</v>
      </c>
      <c r="AA170" s="160">
        <f t="shared" si="118"/>
        <v>0.99999999503795733</v>
      </c>
      <c r="AB170" s="160">
        <f t="shared" si="119"/>
        <v>4.1389851919811836E-4</v>
      </c>
      <c r="AC170" s="171" t="str">
        <f t="shared" si="120"/>
        <v>27,1361690760754-50,5061027488962i</v>
      </c>
      <c r="AD170" s="190">
        <f t="shared" si="121"/>
        <v>35.168311601597914</v>
      </c>
      <c r="AE170" s="169">
        <f t="shared" si="122"/>
        <v>-61.751530701557968</v>
      </c>
      <c r="AF170" s="98" t="str">
        <f t="shared" si="108"/>
        <v>-0,0000375877424711299</v>
      </c>
      <c r="AG170" s="98" t="str">
        <f t="shared" si="109"/>
        <v>2,10760545381356E-06i</v>
      </c>
      <c r="AH170" s="98">
        <f t="shared" si="123"/>
        <v>2.10760545381356E-6</v>
      </c>
      <c r="AI170" s="98">
        <f t="shared" si="124"/>
        <v>1.5707963267948966</v>
      </c>
      <c r="AJ170" s="98" t="str">
        <f t="shared" si="110"/>
        <v>1+0,00192241112796185i</v>
      </c>
      <c r="AK170" s="98">
        <f t="shared" si="125"/>
        <v>1.0000018478305652</v>
      </c>
      <c r="AL170" s="98">
        <f t="shared" si="126"/>
        <v>1.9224087597715525E-3</v>
      </c>
      <c r="AM170" s="98" t="str">
        <f t="shared" si="111"/>
        <v>1+0,149800190201951i</v>
      </c>
      <c r="AN170" s="98">
        <f t="shared" si="127"/>
        <v>1.0111578002391817</v>
      </c>
      <c r="AO170" s="98">
        <f t="shared" si="128"/>
        <v>0.14869452887845364</v>
      </c>
      <c r="AP170" s="168" t="str">
        <f t="shared" si="129"/>
        <v>-2,63729215783837+17,8394053203868i</v>
      </c>
      <c r="AQ170" s="98">
        <f t="shared" si="130"/>
        <v>25.12150125745443</v>
      </c>
      <c r="AR170" s="169">
        <f t="shared" si="131"/>
        <v>98.409423032987661</v>
      </c>
      <c r="AS170" s="168" t="str">
        <f t="shared" si="132"/>
        <v>829,432832192551+617,292467693298i</v>
      </c>
      <c r="AT170" s="190">
        <f t="shared" si="133"/>
        <v>60.289812859052333</v>
      </c>
      <c r="AU170" s="169">
        <f t="shared" si="134"/>
        <v>36.657892331429721</v>
      </c>
      <c r="AV170" s="225"/>
      <c r="AX170">
        <f t="shared" si="135"/>
        <v>0</v>
      </c>
      <c r="AY170">
        <f t="shared" si="136"/>
        <v>0</v>
      </c>
    </row>
    <row r="171" spans="14:51" x14ac:dyDescent="0.25">
      <c r="N171" s="170">
        <v>53</v>
      </c>
      <c r="O171" s="199">
        <f t="shared" si="102"/>
        <v>338.84415613920277</v>
      </c>
      <c r="P171" s="189" t="str">
        <f t="shared" si="103"/>
        <v>120,833333333333</v>
      </c>
      <c r="Q171" s="160" t="str">
        <f t="shared" si="104"/>
        <v>1+1,89837672242244i</v>
      </c>
      <c r="R171" s="160">
        <f t="shared" si="112"/>
        <v>2.1456547206471424</v>
      </c>
      <c r="S171" s="160">
        <f t="shared" si="113"/>
        <v>1.0859660410857515</v>
      </c>
      <c r="T171" s="160" t="str">
        <f t="shared" si="105"/>
        <v>1+0,00012774123739665i</v>
      </c>
      <c r="U171" s="160">
        <f t="shared" si="114"/>
        <v>1.0000000081589118</v>
      </c>
      <c r="V171" s="160">
        <f t="shared" si="115"/>
        <v>1.2774123670183035E-4</v>
      </c>
      <c r="W171" s="98" t="str">
        <f t="shared" si="106"/>
        <v>1-0,00109346499211532i</v>
      </c>
      <c r="X171" s="160">
        <f t="shared" si="116"/>
        <v>1.0000005978326658</v>
      </c>
      <c r="Y171" s="160">
        <f t="shared" si="117"/>
        <v>-1.0934645563094416E-3</v>
      </c>
      <c r="Z171" s="98" t="str">
        <f t="shared" si="107"/>
        <v>0,999999905111271+0,000423539440016296i</v>
      </c>
      <c r="AA171" s="160">
        <f t="shared" si="118"/>
        <v>0.99999999480410406</v>
      </c>
      <c r="AB171" s="160">
        <f t="shared" si="119"/>
        <v>4.2353945487978088E-4</v>
      </c>
      <c r="AC171" s="171" t="str">
        <f t="shared" si="120"/>
        <v>26,1770095723077-49,8616949352157i</v>
      </c>
      <c r="AD171" s="190">
        <f t="shared" si="121"/>
        <v>35.01254370317384</v>
      </c>
      <c r="AE171" s="169">
        <f t="shared" si="122"/>
        <v>-62.300869742356859</v>
      </c>
      <c r="AF171" s="98" t="str">
        <f t="shared" si="108"/>
        <v>-0,0000375877424711299</v>
      </c>
      <c r="AG171" s="98" t="str">
        <f t="shared" si="109"/>
        <v>2,15669789138011E-06i</v>
      </c>
      <c r="AH171" s="98">
        <f t="shared" si="123"/>
        <v>2.15669789138011E-6</v>
      </c>
      <c r="AI171" s="98">
        <f t="shared" si="124"/>
        <v>1.5707963267948966</v>
      </c>
      <c r="AJ171" s="98" t="str">
        <f t="shared" si="110"/>
        <v>1+0,0019671898355259i</v>
      </c>
      <c r="AK171" s="98">
        <f t="shared" si="125"/>
        <v>1.0000019349160525</v>
      </c>
      <c r="AL171" s="98">
        <f t="shared" si="126"/>
        <v>1.9671872979645428E-3</v>
      </c>
      <c r="AM171" s="98" t="str">
        <f t="shared" si="111"/>
        <v>1+0,15328948487598i</v>
      </c>
      <c r="AN171" s="98">
        <f t="shared" si="127"/>
        <v>1.0116806147068071</v>
      </c>
      <c r="AO171" s="98">
        <f t="shared" si="128"/>
        <v>0.15210548493893766</v>
      </c>
      <c r="AP171" s="168" t="str">
        <f t="shared" si="129"/>
        <v>-2,63729169849953+17,4335643788044i</v>
      </c>
      <c r="AQ171" s="98">
        <f t="shared" si="130"/>
        <v>24.925990339512055</v>
      </c>
      <c r="AR171" s="169">
        <f t="shared" si="131"/>
        <v>98.602290798106722</v>
      </c>
      <c r="AS171" s="168" t="str">
        <f t="shared" si="132"/>
        <v>800,230658652799+587,858415749166i</v>
      </c>
      <c r="AT171" s="190">
        <f t="shared" si="133"/>
        <v>59.938534042685902</v>
      </c>
      <c r="AU171" s="169">
        <f t="shared" si="134"/>
        <v>36.301421055749863</v>
      </c>
      <c r="AV171" s="225"/>
      <c r="AX171">
        <f t="shared" si="135"/>
        <v>0</v>
      </c>
      <c r="AY171">
        <f t="shared" si="136"/>
        <v>0</v>
      </c>
    </row>
    <row r="172" spans="14:51" x14ac:dyDescent="0.25">
      <c r="N172" s="170">
        <v>54</v>
      </c>
      <c r="O172" s="199">
        <f t="shared" si="102"/>
        <v>346.73685045253183</v>
      </c>
      <c r="P172" s="189" t="str">
        <f t="shared" si="103"/>
        <v>120,833333333333</v>
      </c>
      <c r="Q172" s="160" t="str">
        <f t="shared" si="104"/>
        <v>1+1,94259559676379i</v>
      </c>
      <c r="R172" s="160">
        <f t="shared" si="112"/>
        <v>2.1848747452808515</v>
      </c>
      <c r="S172" s="160">
        <f t="shared" si="113"/>
        <v>1.0953985612354136</v>
      </c>
      <c r="T172" s="160" t="str">
        <f t="shared" si="105"/>
        <v>1+0,000130716713053264i</v>
      </c>
      <c r="U172" s="160">
        <f t="shared" si="114"/>
        <v>1.0000000085434295</v>
      </c>
      <c r="V172" s="160">
        <f t="shared" si="115"/>
        <v>1.307167123087513E-4</v>
      </c>
      <c r="W172" s="98" t="str">
        <f t="shared" si="106"/>
        <v>1-0,00111893506373594i</v>
      </c>
      <c r="X172" s="160">
        <f t="shared" si="116"/>
        <v>1.0000006260076426</v>
      </c>
      <c r="Y172" s="160">
        <f t="shared" si="117"/>
        <v>-1.1189345967615439E-3</v>
      </c>
      <c r="Z172" s="98" t="str">
        <f t="shared" si="107"/>
        <v>0,999999900639303+0,00043340494092319i</v>
      </c>
      <c r="AA172" s="160">
        <f t="shared" si="118"/>
        <v>0.99999999455922928</v>
      </c>
      <c r="AB172" s="160">
        <f t="shared" si="119"/>
        <v>4.3340495684970095E-4</v>
      </c>
      <c r="AC172" s="171" t="str">
        <f t="shared" si="120"/>
        <v>25,2425067786197-49,2077619981601i</v>
      </c>
      <c r="AD172" s="190">
        <f t="shared" si="121"/>
        <v>34.855209787797186</v>
      </c>
      <c r="AE172" s="169">
        <f t="shared" si="122"/>
        <v>-62.843167432357859</v>
      </c>
      <c r="AF172" s="98" t="str">
        <f t="shared" si="108"/>
        <v>-0,0000375877424711299</v>
      </c>
      <c r="AG172" s="98" t="str">
        <f t="shared" si="109"/>
        <v>2,20693383871595E-06i</v>
      </c>
      <c r="AH172" s="98">
        <f t="shared" si="123"/>
        <v>2.2069338387159501E-6</v>
      </c>
      <c r="AI172" s="98">
        <f t="shared" si="124"/>
        <v>1.5707963267948966</v>
      </c>
      <c r="AJ172" s="98" t="str">
        <f t="shared" si="110"/>
        <v>1+0,00201301157317958i</v>
      </c>
      <c r="AK172" s="98">
        <f t="shared" si="125"/>
        <v>1.0000020261057443</v>
      </c>
      <c r="AL172" s="98">
        <f t="shared" si="126"/>
        <v>2.0130088541338953E-3</v>
      </c>
      <c r="AM172" s="98" t="str">
        <f t="shared" si="111"/>
        <v>1+0,156860055663917i</v>
      </c>
      <c r="AN172" s="98">
        <f t="shared" si="127"/>
        <v>1.0122277792388861</v>
      </c>
      <c r="AO172" s="98">
        <f t="shared" si="128"/>
        <v>0.15559220312861241</v>
      </c>
      <c r="AP172" s="168" t="str">
        <f t="shared" si="129"/>
        <v>-2,63729121751288+17,0369669437308i</v>
      </c>
      <c r="AQ172" s="98">
        <f t="shared" si="130"/>
        <v>24.730686015797584</v>
      </c>
      <c r="AR172" s="169">
        <f t="shared" si="131"/>
        <v>98.799439652947342</v>
      </c>
      <c r="AS172" s="168" t="str">
        <f t="shared" si="132"/>
        <v>771,779173102363+559,830952115456i</v>
      </c>
      <c r="AT172" s="190">
        <f t="shared" si="133"/>
        <v>59.585895803594767</v>
      </c>
      <c r="AU172" s="169">
        <f t="shared" si="134"/>
        <v>35.956272220589483</v>
      </c>
      <c r="AV172" s="225"/>
      <c r="AX172">
        <f t="shared" si="135"/>
        <v>0</v>
      </c>
      <c r="AY172">
        <f t="shared" si="136"/>
        <v>0</v>
      </c>
    </row>
    <row r="173" spans="14:51" x14ac:dyDescent="0.25">
      <c r="N173" s="170">
        <v>55</v>
      </c>
      <c r="O173" s="199">
        <f t="shared" si="102"/>
        <v>354.81338923357566</v>
      </c>
      <c r="P173" s="189" t="str">
        <f t="shared" si="103"/>
        <v>120,833333333333</v>
      </c>
      <c r="Q173" s="160" t="str">
        <f t="shared" si="104"/>
        <v>1+1,98784446100384i</v>
      </c>
      <c r="R173" s="160">
        <f t="shared" si="112"/>
        <v>2.2252023730761317</v>
      </c>
      <c r="S173" s="160">
        <f t="shared" si="113"/>
        <v>1.1047057365296611</v>
      </c>
      <c r="T173" s="160" t="str">
        <f t="shared" si="105"/>
        <v>1+0,000133761496441379i</v>
      </c>
      <c r="U173" s="160">
        <f t="shared" si="114"/>
        <v>1.000000008946069</v>
      </c>
      <c r="V173" s="160">
        <f t="shared" si="115"/>
        <v>1.3376149564361931E-4</v>
      </c>
      <c r="W173" s="98" t="str">
        <f t="shared" si="106"/>
        <v>1-0,00114499840953821i</v>
      </c>
      <c r="X173" s="160">
        <f t="shared" si="116"/>
        <v>1.0000006555104641</v>
      </c>
      <c r="Y173" s="160">
        <f t="shared" si="117"/>
        <v>-1.1449979091661469E-3</v>
      </c>
      <c r="Z173" s="98" t="str">
        <f t="shared" si="107"/>
        <v>0,999999895956578+0,000443500238866555i</v>
      </c>
      <c r="AA173" s="160">
        <f t="shared" si="118"/>
        <v>0.99999999430281428</v>
      </c>
      <c r="AB173" s="160">
        <f t="shared" si="119"/>
        <v>4.4350025593211875E-4</v>
      </c>
      <c r="AC173" s="171" t="str">
        <f t="shared" si="120"/>
        <v>24,332674693485-48,5453533475456i</v>
      </c>
      <c r="AD173" s="190">
        <f t="shared" si="121"/>
        <v>34.696350656143245</v>
      </c>
      <c r="AE173" s="169">
        <f t="shared" si="122"/>
        <v>-63.378326578503454</v>
      </c>
      <c r="AF173" s="98" t="str">
        <f t="shared" si="108"/>
        <v>-0,0000375877424711299</v>
      </c>
      <c r="AG173" s="98" t="str">
        <f t="shared" si="109"/>
        <v>2,25833993158529E-06i</v>
      </c>
      <c r="AH173" s="98">
        <f t="shared" si="123"/>
        <v>2.2583399315852902E-6</v>
      </c>
      <c r="AI173" s="98">
        <f t="shared" si="124"/>
        <v>1.5707963267948966</v>
      </c>
      <c r="AJ173" s="98" t="str">
        <f t="shared" si="110"/>
        <v>1+0,00205990063621472i</v>
      </c>
      <c r="AK173" s="98">
        <f t="shared" si="125"/>
        <v>1.000002121593065</v>
      </c>
      <c r="AL173" s="98">
        <f t="shared" si="126"/>
        <v>2.0598977227051108E-3</v>
      </c>
      <c r="AM173" s="98" t="str">
        <f t="shared" si="111"/>
        <v>1+0,160513795729655i</v>
      </c>
      <c r="AN173" s="98">
        <f t="shared" si="127"/>
        <v>1.0128004140103524</v>
      </c>
      <c r="AO173" s="98">
        <f t="shared" si="128"/>
        <v>0.15915619286747781</v>
      </c>
      <c r="AP173" s="168" t="str">
        <f t="shared" si="129"/>
        <v>-2,63729071385823+16,6494027339505i</v>
      </c>
      <c r="AQ173" s="98">
        <f t="shared" si="130"/>
        <v>24.535597555110837</v>
      </c>
      <c r="AR173" s="169">
        <f t="shared" si="131"/>
        <v>99.000954688936972</v>
      </c>
      <c r="AS173" s="168" t="str">
        <f t="shared" si="132"/>
        <v>744,078801732757+533,152710150486i</v>
      </c>
      <c r="AT173" s="190">
        <f t="shared" si="133"/>
        <v>59.231948211254078</v>
      </c>
      <c r="AU173" s="169">
        <f t="shared" si="134"/>
        <v>35.622628110433553</v>
      </c>
      <c r="AV173" s="225"/>
      <c r="AX173">
        <f t="shared" si="135"/>
        <v>0</v>
      </c>
      <c r="AY173">
        <f t="shared" si="136"/>
        <v>0</v>
      </c>
    </row>
    <row r="174" spans="14:51" x14ac:dyDescent="0.25">
      <c r="N174" s="170">
        <v>56</v>
      </c>
      <c r="O174" s="199">
        <f t="shared" si="102"/>
        <v>363.07805477010152</v>
      </c>
      <c r="P174" s="189" t="str">
        <f t="shared" si="103"/>
        <v>120,833333333333</v>
      </c>
      <c r="Q174" s="160" t="str">
        <f t="shared" si="104"/>
        <v>1+2,03414730668935i</v>
      </c>
      <c r="R174" s="160">
        <f t="shared" si="112"/>
        <v>2.2666617006760266</v>
      </c>
      <c r="S174" s="160">
        <f t="shared" si="113"/>
        <v>1.1138860510836759</v>
      </c>
      <c r="T174" s="160" t="str">
        <f t="shared" si="105"/>
        <v>1+0,000136877201945451i</v>
      </c>
      <c r="U174" s="160">
        <f t="shared" si="114"/>
        <v>1.0000000093676842</v>
      </c>
      <c r="V174" s="160">
        <f t="shared" si="115"/>
        <v>1.3687720109063607E-4</v>
      </c>
      <c r="W174" s="98" t="str">
        <f t="shared" si="106"/>
        <v>1-0,00117166884865306i</v>
      </c>
      <c r="X174" s="160">
        <f t="shared" si="116"/>
        <v>1.0000006864037099</v>
      </c>
      <c r="Y174" s="160">
        <f t="shared" si="117"/>
        <v>-1.1716683124947547E-3</v>
      </c>
      <c r="Z174" s="98" t="str">
        <f t="shared" si="107"/>
        <v>0,999999891053162+0,000453830686506988i</v>
      </c>
      <c r="AA174" s="160">
        <f t="shared" si="118"/>
        <v>0.99999999403431394</v>
      </c>
      <c r="AB174" s="160">
        <f t="shared" si="119"/>
        <v>4.5383070479306924E-4</v>
      </c>
      <c r="AC174" s="171" t="str">
        <f t="shared" si="120"/>
        <v>23,4474756731827-47,8754946851838i</v>
      </c>
      <c r="AD174" s="190">
        <f t="shared" si="121"/>
        <v>34.536007088971587</v>
      </c>
      <c r="AE174" s="169">
        <f t="shared" si="122"/>
        <v>-63.906261332947466</v>
      </c>
      <c r="AF174" s="98" t="str">
        <f t="shared" si="108"/>
        <v>-0,0000375877424711299</v>
      </c>
      <c r="AG174" s="98" t="str">
        <f t="shared" si="109"/>
        <v>2,31094342617903E-06i</v>
      </c>
      <c r="AH174" s="98">
        <f t="shared" si="123"/>
        <v>2.3109434261790301E-6</v>
      </c>
      <c r="AI174" s="98">
        <f t="shared" si="124"/>
        <v>1.5707963267948966</v>
      </c>
      <c r="AJ174" s="98" t="str">
        <f t="shared" si="110"/>
        <v>1+0,0021078818858332i</v>
      </c>
      <c r="AK174" s="98">
        <f t="shared" si="125"/>
        <v>1.0000022215805546</v>
      </c>
      <c r="AL174" s="98">
        <f t="shared" si="126"/>
        <v>2.1078787639517821E-3</v>
      </c>
      <c r="AM174" s="98" t="str">
        <f t="shared" si="111"/>
        <v>1+0,164252642334541i</v>
      </c>
      <c r="AN174" s="98">
        <f t="shared" si="127"/>
        <v>1.0133996894186807</v>
      </c>
      <c r="AO174" s="98">
        <f t="shared" si="128"/>
        <v>0.16279898148599609</v>
      </c>
      <c r="AP174" s="168" t="str">
        <f t="shared" si="129"/>
        <v>-2,63729018646728+16,2706662577827i</v>
      </c>
      <c r="AQ174" s="98">
        <f t="shared" si="130"/>
        <v>24.340734619655407</v>
      </c>
      <c r="AR174" s="169">
        <f t="shared" si="131"/>
        <v>99.206921991276317</v>
      </c>
      <c r="AS174" s="168" t="str">
        <f t="shared" si="132"/>
        <v>717,12839845856+507,767623571336i</v>
      </c>
      <c r="AT174" s="190">
        <f t="shared" si="133"/>
        <v>58.876741708626994</v>
      </c>
      <c r="AU174" s="169">
        <f t="shared" si="134"/>
        <v>35.300660658328844</v>
      </c>
      <c r="AV174" s="225"/>
      <c r="AX174">
        <f t="shared" si="135"/>
        <v>0</v>
      </c>
      <c r="AY174">
        <f t="shared" si="136"/>
        <v>0</v>
      </c>
    </row>
    <row r="175" spans="14:51" x14ac:dyDescent="0.25">
      <c r="N175" s="170">
        <v>57</v>
      </c>
      <c r="O175" s="199">
        <f t="shared" si="102"/>
        <v>371.53522909717265</v>
      </c>
      <c r="P175" s="189" t="str">
        <f t="shared" si="103"/>
        <v>120,833333333333</v>
      </c>
      <c r="Q175" s="160" t="str">
        <f t="shared" si="104"/>
        <v>1+2,08152868420198i</v>
      </c>
      <c r="R175" s="160">
        <f t="shared" si="112"/>
        <v>2.3092773032175296</v>
      </c>
      <c r="S175" s="160">
        <f t="shared" si="113"/>
        <v>1.1229381818739557</v>
      </c>
      <c r="T175" s="160" t="str">
        <f t="shared" si="105"/>
        <v>1+0,000140065481553777i</v>
      </c>
      <c r="U175" s="160">
        <f t="shared" si="114"/>
        <v>1.0000000098091695</v>
      </c>
      <c r="V175" s="160">
        <f t="shared" si="115"/>
        <v>1.4006548063782631E-4</v>
      </c>
      <c r="W175" s="98" t="str">
        <f t="shared" si="106"/>
        <v>1-0,00119896052210033i</v>
      </c>
      <c r="X175" s="160">
        <f t="shared" si="116"/>
        <v>1.0000007187529085</v>
      </c>
      <c r="Y175" s="160">
        <f t="shared" si="117"/>
        <v>-1.1989599475963773E-3</v>
      </c>
      <c r="Z175" s="98" t="str">
        <f t="shared" si="107"/>
        <v>0,999999885918656+0,000464401761184564i</v>
      </c>
      <c r="AA175" s="160">
        <f t="shared" si="118"/>
        <v>0.99999999375316029</v>
      </c>
      <c r="AB175" s="160">
        <f t="shared" si="119"/>
        <v>4.6440178077845282E-4</v>
      </c>
      <c r="AC175" s="171" t="str">
        <f t="shared" si="120"/>
        <v>22,5868232829484-47,1991855757938i</v>
      </c>
      <c r="AD175" s="190">
        <f t="shared" si="121"/>
        <v>34.374219764058601</v>
      </c>
      <c r="AE175" s="169">
        <f t="shared" si="122"/>
        <v>-64.426896921415064</v>
      </c>
      <c r="AF175" s="98" t="str">
        <f t="shared" si="108"/>
        <v>-0,0000375877424711299</v>
      </c>
      <c r="AG175" s="98" t="str">
        <f t="shared" si="109"/>
        <v>2,36477221356628E-06i</v>
      </c>
      <c r="AH175" s="98">
        <f t="shared" si="123"/>
        <v>2.3647722135662802E-6</v>
      </c>
      <c r="AI175" s="98">
        <f t="shared" si="124"/>
        <v>1.5707963267948966</v>
      </c>
      <c r="AJ175" s="98" t="str">
        <f t="shared" si="110"/>
        <v>1+0,00215698076232865i</v>
      </c>
      <c r="AK175" s="98">
        <f t="shared" si="125"/>
        <v>1.0000023262802988</v>
      </c>
      <c r="AL175" s="98">
        <f t="shared" si="126"/>
        <v>2.1569774171728627E-3</v>
      </c>
      <c r="AM175" s="98" t="str">
        <f t="shared" si="111"/>
        <v>1+0,168078577864533i</v>
      </c>
      <c r="AN175" s="98">
        <f t="shared" si="127"/>
        <v>1.0140268282136149</v>
      </c>
      <c r="AO175" s="98">
        <f t="shared" si="128"/>
        <v>0.1665221135266354</v>
      </c>
      <c r="AP175" s="168" t="str">
        <f t="shared" si="129"/>
        <v>-2,63728963422138+15,9005567041277i</v>
      </c>
      <c r="AQ175" s="98">
        <f t="shared" si="130"/>
        <v>24.146107279633537</v>
      </c>
      <c r="AR175" s="169">
        <f t="shared" si="131"/>
        <v>99.417428598165571</v>
      </c>
      <c r="AS175" s="168" t="str">
        <f t="shared" si="132"/>
        <v>690,925331722446+483,620987239365i</v>
      </c>
      <c r="AT175" s="190">
        <f t="shared" si="133"/>
        <v>58.520327043692141</v>
      </c>
      <c r="AU175" s="169">
        <f t="shared" si="134"/>
        <v>34.990531676750486</v>
      </c>
      <c r="AV175" s="225"/>
      <c r="AX175">
        <f t="shared" si="135"/>
        <v>0</v>
      </c>
      <c r="AY175">
        <f t="shared" si="136"/>
        <v>0</v>
      </c>
    </row>
    <row r="176" spans="14:51" x14ac:dyDescent="0.25">
      <c r="N176" s="170">
        <v>58</v>
      </c>
      <c r="O176" s="199">
        <f t="shared" si="102"/>
        <v>380.18939632056163</v>
      </c>
      <c r="P176" s="189" t="str">
        <f t="shared" si="103"/>
        <v>120,833333333333</v>
      </c>
      <c r="Q176" s="160" t="str">
        <f t="shared" si="104"/>
        <v>1+2,13001371577526i</v>
      </c>
      <c r="R176" s="160">
        <f t="shared" si="112"/>
        <v>2.353074250717714</v>
      </c>
      <c r="S176" s="160">
        <f t="shared" si="113"/>
        <v>1.1318609935529118</v>
      </c>
      <c r="T176" s="160" t="str">
        <f t="shared" si="105"/>
        <v>1+0,000143328025734409i</v>
      </c>
      <c r="U176" s="160">
        <f t="shared" si="114"/>
        <v>1.0000000102714615</v>
      </c>
      <c r="V176" s="160">
        <f t="shared" si="115"/>
        <v>1.4332802475295014E-4</v>
      </c>
      <c r="W176" s="98" t="str">
        <f t="shared" si="106"/>
        <v>1-0,00122688790028655i</v>
      </c>
      <c r="X176" s="160">
        <f t="shared" si="116"/>
        <v>1.0000007526266768</v>
      </c>
      <c r="Y176" s="160">
        <f t="shared" si="117"/>
        <v>-1.226887284694499E-3</v>
      </c>
      <c r="Z176" s="98" t="str">
        <f t="shared" si="107"/>
        <v>0,999999880542168+0,000475219067823005i</v>
      </c>
      <c r="AA176" s="160">
        <f t="shared" si="118"/>
        <v>0.99999999345875645</v>
      </c>
      <c r="AB176" s="160">
        <f t="shared" si="119"/>
        <v>4.7521908881823503E-4</v>
      </c>
      <c r="AC176" s="171" t="str">
        <f t="shared" si="120"/>
        <v>21,7505852240044-46,517397305726i</v>
      </c>
      <c r="AD176" s="190">
        <f t="shared" si="121"/>
        <v>34.211029177912039</v>
      </c>
      <c r="AE176" s="169">
        <f t="shared" si="122"/>
        <v>-64.940169346646186</v>
      </c>
      <c r="AF176" s="98" t="str">
        <f t="shared" si="108"/>
        <v>-0,0000375877424711299</v>
      </c>
      <c r="AG176" s="98" t="str">
        <f t="shared" si="109"/>
        <v>2,41985483448262E-06i</v>
      </c>
      <c r="AH176" s="98">
        <f t="shared" si="123"/>
        <v>2.4198548344826201E-6</v>
      </c>
      <c r="AI176" s="98">
        <f t="shared" si="124"/>
        <v>1.5707963267948966</v>
      </c>
      <c r="AJ176" s="98" t="str">
        <f t="shared" si="110"/>
        <v>1+0,00220722329857531i</v>
      </c>
      <c r="AK176" s="98">
        <f t="shared" si="125"/>
        <v>1.000002435914378</v>
      </c>
      <c r="AL176" s="98">
        <f t="shared" si="126"/>
        <v>2.2072197141767762E-3</v>
      </c>
      <c r="AM176" s="98" t="str">
        <f t="shared" si="111"/>
        <v>1+0,171993630881292i</v>
      </c>
      <c r="AN176" s="98">
        <f t="shared" si="127"/>
        <v>1.0146831077059133</v>
      </c>
      <c r="AO176" s="98">
        <f t="shared" si="128"/>
        <v>0.17032714996285198</v>
      </c>
      <c r="AP176" s="168" t="str">
        <f t="shared" si="129"/>
        <v>-2,63728905594918+15,5388778359938i</v>
      </c>
      <c r="AQ176" s="98">
        <f t="shared" si="130"/>
        <v>23.951726028181852</v>
      </c>
      <c r="AR176" s="169">
        <f t="shared" si="131"/>
        <v>99.632562455282866</v>
      </c>
      <c r="AS176" s="168" t="str">
        <f t="shared" si="132"/>
        <v>665,465573610307+460,659509482807i</v>
      </c>
      <c r="AT176" s="190">
        <f t="shared" si="133"/>
        <v>58.162755206093891</v>
      </c>
      <c r="AU176" s="169">
        <f t="shared" si="134"/>
        <v>34.692393108636665</v>
      </c>
      <c r="AV176" s="225"/>
      <c r="AX176">
        <f t="shared" si="135"/>
        <v>0</v>
      </c>
      <c r="AY176">
        <f t="shared" si="136"/>
        <v>0</v>
      </c>
    </row>
    <row r="177" spans="14:51" x14ac:dyDescent="0.25">
      <c r="N177" s="170">
        <v>59</v>
      </c>
      <c r="O177" s="199">
        <f t="shared" si="102"/>
        <v>389.04514499428063</v>
      </c>
      <c r="P177" s="189" t="str">
        <f t="shared" si="103"/>
        <v>120,833333333333</v>
      </c>
      <c r="Q177" s="160" t="str">
        <f t="shared" si="104"/>
        <v>1+2,17962810881472i</v>
      </c>
      <c r="R177" s="160">
        <f t="shared" si="112"/>
        <v>2.3980781248189627</v>
      </c>
      <c r="S177" s="160">
        <f t="shared" si="113"/>
        <v>1.1406535328827012</v>
      </c>
      <c r="T177" s="160" t="str">
        <f t="shared" si="105"/>
        <v>1+0,000146666564331457i</v>
      </c>
      <c r="U177" s="160">
        <f t="shared" si="114"/>
        <v>1.0000000107555405</v>
      </c>
      <c r="V177" s="160">
        <f t="shared" si="115"/>
        <v>1.4666656327980487E-4</v>
      </c>
      <c r="W177" s="98" t="str">
        <f t="shared" si="106"/>
        <v>1-0,00125546579067727i</v>
      </c>
      <c r="X177" s="160">
        <f t="shared" si="116"/>
        <v>1.0000007880968651</v>
      </c>
      <c r="Y177" s="160">
        <f t="shared" si="117"/>
        <v>-1.2554651310585313E-3</v>
      </c>
      <c r="Z177" s="98" t="str">
        <f t="shared" si="107"/>
        <v>0,999999874912293+0,000486288341901473i</v>
      </c>
      <c r="AA177" s="160">
        <f t="shared" si="118"/>
        <v>0.99999999315047661</v>
      </c>
      <c r="AB177" s="160">
        <f t="shared" si="119"/>
        <v>4.8628836439826767E-4</v>
      </c>
      <c r="AC177" s="171" t="str">
        <f t="shared" si="120"/>
        <v>20,93858630969-45,8310710239741i</v>
      </c>
      <c r="AD177" s="190">
        <f t="shared" si="121"/>
        <v>34.046475572371286</v>
      </c>
      <c r="AE177" s="169">
        <f t="shared" si="122"/>
        <v>-65.44602507003583</v>
      </c>
      <c r="AF177" s="98" t="str">
        <f t="shared" si="108"/>
        <v>-0,0000375877424711299</v>
      </c>
      <c r="AG177" s="98" t="str">
        <f t="shared" si="109"/>
        <v>2,47622049446277E-06i</v>
      </c>
      <c r="AH177" s="98">
        <f t="shared" si="123"/>
        <v>2.4762204944627698E-6</v>
      </c>
      <c r="AI177" s="98">
        <f t="shared" si="124"/>
        <v>1.5707963267948966</v>
      </c>
      <c r="AJ177" s="98" t="str">
        <f t="shared" si="110"/>
        <v>1+0,00225863613383092i</v>
      </c>
      <c r="AK177" s="98">
        <f t="shared" si="125"/>
        <v>1.0000025507153394</v>
      </c>
      <c r="AL177" s="98">
        <f t="shared" si="126"/>
        <v>2.2586322930792224E-3</v>
      </c>
      <c r="AM177" s="98" t="str">
        <f t="shared" si="111"/>
        <v>1+0,175999877197749i</v>
      </c>
      <c r="AN177" s="98">
        <f t="shared" si="127"/>
        <v>1.015369862056986</v>
      </c>
      <c r="AO177" s="98">
        <f t="shared" si="128"/>
        <v>0.17421566733032315</v>
      </c>
      <c r="AP177" s="168" t="str">
        <f t="shared" si="129"/>
        <v>-2,63728845042413+15,1854378864495i</v>
      </c>
      <c r="AQ177" s="98">
        <f t="shared" si="130"/>
        <v>23.75760179663585</v>
      </c>
      <c r="AR177" s="169">
        <f t="shared" si="131"/>
        <v>99.852412365217305</v>
      </c>
      <c r="AS177" s="168" t="str">
        <f t="shared" si="132"/>
        <v>640,74379046126+438,831356117954i</v>
      </c>
      <c r="AT177" s="190">
        <f t="shared" si="133"/>
        <v>57.804077369007132</v>
      </c>
      <c r="AU177" s="169">
        <f t="shared" si="134"/>
        <v>34.406387295181467</v>
      </c>
      <c r="AV177" s="225"/>
      <c r="AX177">
        <f t="shared" si="135"/>
        <v>0</v>
      </c>
      <c r="AY177">
        <f t="shared" si="136"/>
        <v>0</v>
      </c>
    </row>
    <row r="178" spans="14:51" x14ac:dyDescent="0.25">
      <c r="N178" s="170">
        <v>60</v>
      </c>
      <c r="O178" s="199">
        <f t="shared" si="102"/>
        <v>398.10717055349761</v>
      </c>
      <c r="P178" s="189" t="str">
        <f t="shared" si="103"/>
        <v>120,833333333333</v>
      </c>
      <c r="Q178" s="160" t="str">
        <f t="shared" si="104"/>
        <v>1+2,23039816952825i</v>
      </c>
      <c r="R178" s="160">
        <f t="shared" si="112"/>
        <v>2.4443150358812114</v>
      </c>
      <c r="S178" s="160">
        <f t="shared" si="113"/>
        <v>1.1493150228413409</v>
      </c>
      <c r="T178" s="160" t="str">
        <f t="shared" si="105"/>
        <v>1+0,000150082867482274i</v>
      </c>
      <c r="U178" s="160">
        <f t="shared" si="114"/>
        <v>1.0000000112624334</v>
      </c>
      <c r="V178" s="160">
        <f t="shared" si="115"/>
        <v>1.5008286635540848E-4</v>
      </c>
      <c r="W178" s="98" t="str">
        <f t="shared" si="106"/>
        <v>1-0,00128470934564827i</v>
      </c>
      <c r="X178" s="160">
        <f t="shared" si="116"/>
        <v>1.0000008252387109</v>
      </c>
      <c r="Y178" s="160">
        <f t="shared" si="117"/>
        <v>-1.2847086388540888E-3</v>
      </c>
      <c r="Z178" s="98" t="str">
        <f t="shared" si="107"/>
        <v>0,999999869017091+0,000497615452495604i</v>
      </c>
      <c r="AA178" s="160">
        <f t="shared" si="118"/>
        <v>0.99999999282766883</v>
      </c>
      <c r="AB178" s="160">
        <f t="shared" si="119"/>
        <v>4.9761547660135373E-4</v>
      </c>
      <c r="AC178" s="171" t="str">
        <f t="shared" si="120"/>
        <v>20,150611465697-45,1411161577188i</v>
      </c>
      <c r="AD178" s="190">
        <f t="shared" si="121"/>
        <v>33.880598866153456</v>
      </c>
      <c r="AE178" s="169">
        <f t="shared" si="122"/>
        <v>-65.944420674511264</v>
      </c>
      <c r="AF178" s="98" t="str">
        <f t="shared" si="108"/>
        <v>-0,0000375877424711299</v>
      </c>
      <c r="AG178" s="98" t="str">
        <f t="shared" si="109"/>
        <v>2,53389907932573E-06i</v>
      </c>
      <c r="AH178" s="98">
        <f t="shared" si="123"/>
        <v>2.5338990793257301E-6</v>
      </c>
      <c r="AI178" s="98">
        <f t="shared" si="124"/>
        <v>1.5707963267948966</v>
      </c>
      <c r="AJ178" s="98" t="str">
        <f t="shared" si="110"/>
        <v>1+0,00231124652786127i</v>
      </c>
      <c r="AK178" s="98">
        <f t="shared" si="125"/>
        <v>1.0000026709266894</v>
      </c>
      <c r="AL178" s="98">
        <f t="shared" si="126"/>
        <v>2.3112424124222732E-3</v>
      </c>
      <c r="AM178" s="98" t="str">
        <f t="shared" si="111"/>
        <v>1+0,180099440978729i</v>
      </c>
      <c r="AN178" s="98">
        <f t="shared" si="127"/>
        <v>1.0160884846512388</v>
      </c>
      <c r="AO178" s="98">
        <f t="shared" si="128"/>
        <v>0.17818925676507957</v>
      </c>
      <c r="AP178" s="168" t="str">
        <f t="shared" si="129"/>
        <v>-2,63728781636184+14,8400494569467i</v>
      </c>
      <c r="AQ178" s="98">
        <f t="shared" si="130"/>
        <v>23.563745970108407</v>
      </c>
      <c r="AR178" s="169">
        <f t="shared" si="131"/>
        <v>100.0770679315486</v>
      </c>
      <c r="AS178" s="168" t="str">
        <f t="shared" si="132"/>
        <v>616,753434211599+418,086186398387i</v>
      </c>
      <c r="AT178" s="190">
        <f t="shared" si="133"/>
        <v>57.444344836261862</v>
      </c>
      <c r="AU178" s="169">
        <f t="shared" si="134"/>
        <v>34.13264725703732</v>
      </c>
      <c r="AV178" s="225"/>
      <c r="AX178">
        <f t="shared" si="135"/>
        <v>0</v>
      </c>
      <c r="AY178">
        <f t="shared" si="136"/>
        <v>0</v>
      </c>
    </row>
    <row r="179" spans="14:51" x14ac:dyDescent="0.25">
      <c r="N179" s="170">
        <v>61</v>
      </c>
      <c r="O179" s="199">
        <f t="shared" si="102"/>
        <v>407.38027780411272</v>
      </c>
      <c r="P179" s="189" t="str">
        <f t="shared" si="103"/>
        <v>120,833333333333</v>
      </c>
      <c r="Q179" s="160" t="str">
        <f t="shared" si="104"/>
        <v>1+2,28235081687408i</v>
      </c>
      <c r="R179" s="160">
        <f t="shared" si="112"/>
        <v>2.491811640410603</v>
      </c>
      <c r="S179" s="160">
        <f t="shared" si="113"/>
        <v>1.1578448564525194</v>
      </c>
      <c r="T179" s="160" t="str">
        <f t="shared" si="105"/>
        <v>1+0,000153578746556012i</v>
      </c>
      <c r="U179" s="160">
        <f t="shared" si="114"/>
        <v>1.0000000117932157</v>
      </c>
      <c r="V179" s="160">
        <f t="shared" si="115"/>
        <v>1.5357874534855382E-4</v>
      </c>
      <c r="W179" s="98" t="str">
        <f t="shared" si="106"/>
        <v>1-0,00131463407051946i</v>
      </c>
      <c r="X179" s="160">
        <f t="shared" si="116"/>
        <v>1.0000008641309963</v>
      </c>
      <c r="Y179" s="160">
        <f t="shared" si="117"/>
        <v>-1.3146333131758853E-3</v>
      </c>
      <c r="Z179" s="98" t="str">
        <f t="shared" si="107"/>
        <v>0,999999862844057+0,000509206405389368i</v>
      </c>
      <c r="AA179" s="160">
        <f t="shared" si="118"/>
        <v>0.9999999924896481</v>
      </c>
      <c r="AB179" s="160">
        <f t="shared" si="119"/>
        <v>5.0920643121914405E-4</v>
      </c>
      <c r="AC179" s="171" t="str">
        <f t="shared" si="120"/>
        <v>19,3864087313323-44,44840909272i</v>
      </c>
      <c r="AD179" s="190">
        <f t="shared" si="121"/>
        <v>33.713438591365112</v>
      </c>
      <c r="AE179" s="169">
        <f t="shared" si="122"/>
        <v>-66.435322511590712</v>
      </c>
      <c r="AF179" s="98" t="str">
        <f t="shared" si="108"/>
        <v>-0,0000375877424711299</v>
      </c>
      <c r="AG179" s="98" t="str">
        <f t="shared" si="109"/>
        <v>2,59292117102068E-06i</v>
      </c>
      <c r="AH179" s="98">
        <f t="shared" si="123"/>
        <v>2.5929211710206799E-6</v>
      </c>
      <c r="AI179" s="98">
        <f t="shared" si="124"/>
        <v>1.5707963267948966</v>
      </c>
      <c r="AJ179" s="98" t="str">
        <f t="shared" si="110"/>
        <v>1+0,00236508237539367i</v>
      </c>
      <c r="AK179" s="98">
        <f t="shared" si="125"/>
        <v>1.0000027968034102</v>
      </c>
      <c r="AL179" s="98">
        <f t="shared" si="126"/>
        <v>2.3650779656220013E-3</v>
      </c>
      <c r="AM179" s="98" t="str">
        <f t="shared" si="111"/>
        <v>1+0,184294495867215i</v>
      </c>
      <c r="AN179" s="98">
        <f t="shared" si="127"/>
        <v>1.0168404305528724</v>
      </c>
      <c r="AO179" s="98">
        <f t="shared" si="128"/>
        <v>0.1822495229429833</v>
      </c>
      <c r="AP179" s="168" t="str">
        <f t="shared" si="129"/>
        <v>-2,63728715241746+14,5025294179591i</v>
      </c>
      <c r="AQ179" s="98">
        <f t="shared" si="130"/>
        <v>23.370170403363026</v>
      </c>
      <c r="AR179" s="169">
        <f t="shared" si="131"/>
        <v>100.30661949725607</v>
      </c>
      <c r="AS179" s="168" t="str">
        <f t="shared" si="132"/>
        <v>593,486833769996+398,375181180352i</v>
      </c>
      <c r="AT179" s="190">
        <f t="shared" si="133"/>
        <v>57.083608994728138</v>
      </c>
      <c r="AU179" s="169">
        <f t="shared" si="134"/>
        <v>33.871296985665396</v>
      </c>
      <c r="AV179" s="225"/>
      <c r="AX179">
        <f t="shared" si="135"/>
        <v>0</v>
      </c>
      <c r="AY179">
        <f t="shared" si="136"/>
        <v>0</v>
      </c>
    </row>
    <row r="180" spans="14:51" x14ac:dyDescent="0.25">
      <c r="N180" s="170">
        <v>62</v>
      </c>
      <c r="O180" s="199">
        <f t="shared" si="102"/>
        <v>416.86938347033572</v>
      </c>
      <c r="P180" s="189" t="str">
        <f t="shared" si="103"/>
        <v>120,833333333333</v>
      </c>
      <c r="Q180" s="160" t="str">
        <f t="shared" si="104"/>
        <v>1+2,33551359683351i</v>
      </c>
      <c r="R180" s="160">
        <f t="shared" si="112"/>
        <v>2.5405951588149964</v>
      </c>
      <c r="S180" s="160">
        <f t="shared" si="113"/>
        <v>1.1662425903884353</v>
      </c>
      <c r="T180" s="160" t="str">
        <f t="shared" si="105"/>
        <v>1+0,000157156055114029i</v>
      </c>
      <c r="U180" s="160">
        <f t="shared" si="114"/>
        <v>1.0000000123490127</v>
      </c>
      <c r="V180" s="160">
        <f t="shared" si="115"/>
        <v>1.5715605382021425E-4</v>
      </c>
      <c r="W180" s="98" t="str">
        <f t="shared" si="106"/>
        <v>1-0,00134525583177609i</v>
      </c>
      <c r="X180" s="160">
        <f t="shared" si="116"/>
        <v>1.0000009048562171</v>
      </c>
      <c r="Y180" s="160">
        <f t="shared" si="117"/>
        <v>-1.3452550202678686E-3</v>
      </c>
      <c r="Z180" s="98" t="str">
        <f t="shared" si="107"/>
        <v>0,999999856380097+0,000521067346259414i</v>
      </c>
      <c r="AA180" s="160">
        <f t="shared" si="118"/>
        <v>0.9999999921356969</v>
      </c>
      <c r="AB180" s="160">
        <f t="shared" si="119"/>
        <v>5.2106737393651723E-4</v>
      </c>
      <c r="AC180" s="171" t="str">
        <f t="shared" si="120"/>
        <v>18,6456922407465-43,7537921072639i</v>
      </c>
      <c r="AD180" s="190">
        <f t="shared" si="121"/>
        <v>33.545033834964919</v>
      </c>
      <c r="AE180" s="169">
        <f t="shared" si="122"/>
        <v>-66.918706335451546</v>
      </c>
      <c r="AF180" s="98" t="str">
        <f t="shared" si="108"/>
        <v>-0,0000375877424711299</v>
      </c>
      <c r="AG180" s="98" t="str">
        <f t="shared" si="109"/>
        <v>2,65331806384187E-06i</v>
      </c>
      <c r="AH180" s="98">
        <f t="shared" si="123"/>
        <v>2.6533180638418699E-6</v>
      </c>
      <c r="AI180" s="98">
        <f t="shared" si="124"/>
        <v>1.5707963267948966</v>
      </c>
      <c r="AJ180" s="98" t="str">
        <f t="shared" si="110"/>
        <v>1+0,00242017222090707i</v>
      </c>
      <c r="AK180" s="98">
        <f t="shared" si="125"/>
        <v>1.000002928612501</v>
      </c>
      <c r="AL180" s="98">
        <f t="shared" si="126"/>
        <v>2.4201674957523428E-3</v>
      </c>
      <c r="AM180" s="98" t="str">
        <f t="shared" si="111"/>
        <v>1+0,188587266136836i</v>
      </c>
      <c r="AN180" s="98">
        <f t="shared" si="127"/>
        <v>1.0176272190487861</v>
      </c>
      <c r="AO180" s="98">
        <f t="shared" si="128"/>
        <v>0.18639808291480392</v>
      </c>
      <c r="AP180" s="168" t="str">
        <f t="shared" si="129"/>
        <v>-2,6372864571827+14,1726988118845i</v>
      </c>
      <c r="AQ180" s="98">
        <f t="shared" si="130"/>
        <v>23.176887436960989</v>
      </c>
      <c r="AR180" s="169">
        <f t="shared" si="131"/>
        <v>100.54115807712645</v>
      </c>
      <c r="AS180" s="168" t="str">
        <f t="shared" si="132"/>
        <v>570,935285782743+379,651063642066i</v>
      </c>
      <c r="AT180" s="190">
        <f t="shared" si="133"/>
        <v>56.721921271925908</v>
      </c>
      <c r="AU180" s="169">
        <f t="shared" si="134"/>
        <v>33.622451741674901</v>
      </c>
      <c r="AV180" s="225"/>
      <c r="AX180">
        <f t="shared" si="135"/>
        <v>0</v>
      </c>
      <c r="AY180">
        <f t="shared" si="136"/>
        <v>0</v>
      </c>
    </row>
    <row r="181" spans="14:51" x14ac:dyDescent="0.25">
      <c r="N181" s="170">
        <v>63</v>
      </c>
      <c r="O181" s="199">
        <f t="shared" si="102"/>
        <v>426.57951880159294</v>
      </c>
      <c r="P181" s="189" t="str">
        <f t="shared" si="103"/>
        <v>120,833333333333</v>
      </c>
      <c r="Q181" s="160" t="str">
        <f t="shared" si="104"/>
        <v>1+2,38991469701614i</v>
      </c>
      <c r="R181" s="160">
        <f t="shared" si="112"/>
        <v>2.5906933934786158</v>
      </c>
      <c r="S181" s="160">
        <f t="shared" si="113"/>
        <v>1.1745079383927934</v>
      </c>
      <c r="T181" s="160" t="str">
        <f t="shared" si="105"/>
        <v>1+0,000160816689892674i</v>
      </c>
      <c r="U181" s="160">
        <f t="shared" si="114"/>
        <v>1.0000000129310038</v>
      </c>
      <c r="V181" s="160">
        <f t="shared" si="115"/>
        <v>1.6081668850632654E-4</v>
      </c>
      <c r="W181" s="98" t="str">
        <f t="shared" si="106"/>
        <v>1-0,00137659086548129i</v>
      </c>
      <c r="X181" s="160">
        <f t="shared" si="116"/>
        <v>1.0000009475007565</v>
      </c>
      <c r="Y181" s="160">
        <f t="shared" si="117"/>
        <v>-1.376589995934609E-3</v>
      </c>
      <c r="Z181" s="98" t="str">
        <f t="shared" si="107"/>
        <v>0,999999849611499+0,000533204563933588i</v>
      </c>
      <c r="AA181" s="160">
        <f t="shared" si="118"/>
        <v>0.9999999917650636</v>
      </c>
      <c r="AB181" s="160">
        <f t="shared" si="119"/>
        <v>5.3320459359013864E-4</v>
      </c>
      <c r="AC181" s="171" t="str">
        <f t="shared" si="120"/>
        <v>17,9281451651184-43,0580725470316i</v>
      </c>
      <c r="AD181" s="190">
        <f t="shared" si="121"/>
        <v>33.375423185127111</v>
      </c>
      <c r="AE181" s="169">
        <f t="shared" si="122"/>
        <v>-67.39455692670829</v>
      </c>
      <c r="AF181" s="98" t="str">
        <f t="shared" si="108"/>
        <v>-0,0000375877424711299</v>
      </c>
      <c r="AG181" s="98" t="str">
        <f t="shared" si="109"/>
        <v>2,71512178102132E-06i</v>
      </c>
      <c r="AH181" s="98">
        <f t="shared" si="123"/>
        <v>2.71512178102132E-6</v>
      </c>
      <c r="AI181" s="98">
        <f t="shared" si="124"/>
        <v>1.5707963267948966</v>
      </c>
      <c r="AJ181" s="98" t="str">
        <f t="shared" si="110"/>
        <v>1+0,00247654527376675i</v>
      </c>
      <c r="AK181" s="98">
        <f t="shared" si="125"/>
        <v>1.0000030666335444</v>
      </c>
      <c r="AL181" s="98">
        <f t="shared" si="126"/>
        <v>2.4765402106730781E-3</v>
      </c>
      <c r="AM181" s="98" t="str">
        <f t="shared" si="111"/>
        <v>1+0,192980027871209i</v>
      </c>
      <c r="AN181" s="98">
        <f t="shared" si="127"/>
        <v>1.0184504362791411</v>
      </c>
      <c r="AO181" s="98">
        <f t="shared" si="128"/>
        <v>0.19063656483100758</v>
      </c>
      <c r="AP181" s="168" t="str">
        <f t="shared" si="129"/>
        <v>-2,63728572918292+13,8503827581591i</v>
      </c>
      <c r="AQ181" s="98">
        <f t="shared" si="130"/>
        <v>22.983909913657214</v>
      </c>
      <c r="AR181" s="169">
        <f t="shared" si="131"/>
        <v>100.78077528382286</v>
      </c>
      <c r="AS181" s="168" t="str">
        <f t="shared" si="132"/>
        <v>549,089144210284+361,868112935139i</v>
      </c>
      <c r="AT181" s="190">
        <f t="shared" si="133"/>
        <v>56.359333098784326</v>
      </c>
      <c r="AU181" s="169">
        <f t="shared" si="134"/>
        <v>33.386218357114593</v>
      </c>
      <c r="AV181" s="225"/>
      <c r="AX181">
        <f t="shared" si="135"/>
        <v>0</v>
      </c>
      <c r="AY181">
        <f t="shared" si="136"/>
        <v>0</v>
      </c>
    </row>
    <row r="182" spans="14:51" x14ac:dyDescent="0.25">
      <c r="N182" s="170">
        <v>64</v>
      </c>
      <c r="O182" s="199">
        <f t="shared" si="102"/>
        <v>436.51583224016622</v>
      </c>
      <c r="P182" s="189" t="str">
        <f t="shared" si="103"/>
        <v>120,833333333333</v>
      </c>
      <c r="Q182" s="160" t="str">
        <f t="shared" si="104"/>
        <v>1+2,4455829616054i</v>
      </c>
      <c r="R182" s="160">
        <f t="shared" si="112"/>
        <v>2.6421347471494787</v>
      </c>
      <c r="S182" s="160">
        <f t="shared" si="113"/>
        <v>1.1826407645685579</v>
      </c>
      <c r="T182" s="160" t="str">
        <f t="shared" si="105"/>
        <v>1+0,00016456259180896i</v>
      </c>
      <c r="U182" s="160">
        <f t="shared" si="114"/>
        <v>1.0000000135404232</v>
      </c>
      <c r="V182" s="160">
        <f t="shared" si="115"/>
        <v>1.6456259032346192E-4</v>
      </c>
      <c r="W182" s="98" t="str">
        <f t="shared" si="106"/>
        <v>1-0,0014086557858847i</v>
      </c>
      <c r="X182" s="160">
        <f t="shared" si="116"/>
        <v>1.0000009921550694</v>
      </c>
      <c r="Y182" s="160">
        <f t="shared" si="117"/>
        <v>-1.4086548541486943E-3</v>
      </c>
      <c r="Z182" s="98" t="str">
        <f t="shared" si="107"/>
        <v>0,999999842523908+0,000545624493725355i</v>
      </c>
      <c r="AA182" s="160">
        <f t="shared" si="118"/>
        <v>0.99999999137696438</v>
      </c>
      <c r="AB182" s="160">
        <f t="shared" si="119"/>
        <v>5.456245255029211E-4</v>
      </c>
      <c r="AC182" s="171" t="str">
        <f t="shared" si="120"/>
        <v>17,2334225988657-42,3620222272138i</v>
      </c>
      <c r="AD182" s="190">
        <f t="shared" si="121"/>
        <v>33.204644682426704</v>
      </c>
      <c r="AE182" s="169">
        <f t="shared" si="122"/>
        <v>-67.862867708455369</v>
      </c>
      <c r="AF182" s="98" t="str">
        <f t="shared" si="108"/>
        <v>-0,0000375877424711299</v>
      </c>
      <c r="AG182" s="98" t="str">
        <f t="shared" si="109"/>
        <v>2,77836509170796E-06i</v>
      </c>
      <c r="AH182" s="98">
        <f t="shared" si="123"/>
        <v>2.7783650917079599E-6</v>
      </c>
      <c r="AI182" s="98">
        <f t="shared" si="124"/>
        <v>1.5707963267948966</v>
      </c>
      <c r="AJ182" s="98" t="str">
        <f t="shared" si="110"/>
        <v>1+0,00253423142371153i</v>
      </c>
      <c r="AK182" s="98">
        <f t="shared" si="125"/>
        <v>1.0000032111592987</v>
      </c>
      <c r="AL182" s="98">
        <f t="shared" si="126"/>
        <v>2.534225998509857E-3</v>
      </c>
      <c r="AM182" s="98" t="str">
        <f t="shared" si="111"/>
        <v>1+0,197475110170753i</v>
      </c>
      <c r="AN182" s="98">
        <f t="shared" si="127"/>
        <v>1.0193117379570154</v>
      </c>
      <c r="AO182" s="98">
        <f t="shared" si="128"/>
        <v>0.19496660655018727</v>
      </c>
      <c r="AP182" s="168" t="str">
        <f t="shared" si="129"/>
        <v>-2,637284966874+13,5354103605337i</v>
      </c>
      <c r="AQ182" s="98">
        <f t="shared" si="130"/>
        <v>22.791251195016137</v>
      </c>
      <c r="AR182" s="169">
        <f t="shared" si="131"/>
        <v>101.02556324726642</v>
      </c>
      <c r="AS182" s="168" t="str">
        <f t="shared" si="132"/>
        <v>527,937908199613+344,982171178356i</v>
      </c>
      <c r="AT182" s="190">
        <f t="shared" si="133"/>
        <v>55.995895877442841</v>
      </c>
      <c r="AU182" s="169">
        <f t="shared" si="134"/>
        <v>33.1626955388111</v>
      </c>
      <c r="AV182" s="225"/>
      <c r="AX182">
        <f t="shared" si="135"/>
        <v>0</v>
      </c>
      <c r="AY182">
        <f t="shared" si="136"/>
        <v>0</v>
      </c>
    </row>
    <row r="183" spans="14:51" x14ac:dyDescent="0.25">
      <c r="N183" s="170">
        <v>65</v>
      </c>
      <c r="O183" s="199">
        <f t="shared" si="102"/>
        <v>446.68359215096331</v>
      </c>
      <c r="P183" s="189" t="str">
        <f t="shared" si="103"/>
        <v>120,833333333333</v>
      </c>
      <c r="Q183" s="160" t="str">
        <f t="shared" si="104"/>
        <v>1+2,50254790665202i</v>
      </c>
      <c r="R183" s="160">
        <f t="shared" si="112"/>
        <v>2.6949482416344117</v>
      </c>
      <c r="S183" s="160">
        <f t="shared" si="113"/>
        <v>1.1906410765723199</v>
      </c>
      <c r="T183" s="160" t="str">
        <f t="shared" si="105"/>
        <v>1+0,000168395746989667i</v>
      </c>
      <c r="U183" s="160">
        <f t="shared" si="114"/>
        <v>1.0000000141785637</v>
      </c>
      <c r="V183" s="160">
        <f t="shared" si="115"/>
        <v>1.6839574539792714E-4</v>
      </c>
      <c r="W183" s="98" t="str">
        <f t="shared" si="106"/>
        <v>1-0,00144146759423155i</v>
      </c>
      <c r="X183" s="160">
        <f t="shared" si="116"/>
        <v>1.0000010389138729</v>
      </c>
      <c r="Y183" s="160">
        <f t="shared" si="117"/>
        <v>-1.4414665958584886E-3</v>
      </c>
      <c r="Z183" s="98" t="str">
        <f t="shared" si="107"/>
        <v>0,999999835102288+0,00055833372084589i</v>
      </c>
      <c r="AA183" s="160">
        <f t="shared" si="118"/>
        <v>0.99999999097057335</v>
      </c>
      <c r="AB183" s="160">
        <f t="shared" si="119"/>
        <v>5.5833375489616559E-4</v>
      </c>
      <c r="AC183" s="171" t="str">
        <f t="shared" si="120"/>
        <v>16,5611543750162-41,6663770474215i</v>
      </c>
      <c r="AD183" s="190">
        <f t="shared" si="121"/>
        <v>33.032735775743134</v>
      </c>
      <c r="AE183" s="169">
        <f t="shared" si="122"/>
        <v>-68.323640356974352</v>
      </c>
      <c r="AF183" s="98" t="str">
        <f t="shared" si="108"/>
        <v>-0,0000375877424711299</v>
      </c>
      <c r="AG183" s="98" t="str">
        <f t="shared" si="109"/>
        <v>2,84308152834223E-06i</v>
      </c>
      <c r="AH183" s="98">
        <f t="shared" si="123"/>
        <v>2.84308152834223E-6</v>
      </c>
      <c r="AI183" s="98">
        <f t="shared" si="124"/>
        <v>1.5707963267948966</v>
      </c>
      <c r="AJ183" s="98" t="str">
        <f t="shared" si="110"/>
        <v>1+0,00259326125670169i</v>
      </c>
      <c r="AK183" s="98">
        <f t="shared" si="125"/>
        <v>1.0000033624963196</v>
      </c>
      <c r="AL183" s="98">
        <f t="shared" si="126"/>
        <v>2.5932554434944187E-3</v>
      </c>
      <c r="AM183" s="98" t="str">
        <f t="shared" si="111"/>
        <v>1+0,202074896387601i</v>
      </c>
      <c r="AN183" s="98">
        <f t="shared" si="127"/>
        <v>1.0202128521784362</v>
      </c>
      <c r="AO183" s="98">
        <f t="shared" si="128"/>
        <v>0.19938985412491622</v>
      </c>
      <c r="AP183" s="168" t="str">
        <f t="shared" si="129"/>
        <v>-2,63728416863904+13,2276146164616i</v>
      </c>
      <c r="AQ183" s="98">
        <f t="shared" si="130"/>
        <v>22.59892517821396</v>
      </c>
      <c r="AR183" s="169">
        <f t="shared" si="131"/>
        <v>101.27561452697525</v>
      </c>
      <c r="AS183" s="168" t="str">
        <f t="shared" si="132"/>
        <v>507,470307799855+328,950644228151i</v>
      </c>
      <c r="AT183" s="190">
        <f t="shared" si="133"/>
        <v>55.631660953957088</v>
      </c>
      <c r="AU183" s="169">
        <f t="shared" si="134"/>
        <v>32.951974170000923</v>
      </c>
      <c r="AV183" s="225"/>
      <c r="AX183">
        <f t="shared" si="135"/>
        <v>0</v>
      </c>
      <c r="AY183">
        <f t="shared" si="136"/>
        <v>0</v>
      </c>
    </row>
    <row r="184" spans="14:51" x14ac:dyDescent="0.25">
      <c r="N184" s="170">
        <v>66</v>
      </c>
      <c r="O184" s="199">
        <f t="shared" ref="O184:O218" si="137">10^(2+(N184/100))</f>
        <v>457.0881896148756</v>
      </c>
      <c r="P184" s="189" t="str">
        <f t="shared" si="103"/>
        <v>120,833333333333</v>
      </c>
      <c r="Q184" s="160" t="str">
        <f t="shared" si="104"/>
        <v>1+2,56083973572388i</v>
      </c>
      <c r="R184" s="160">
        <f t="shared" si="112"/>
        <v>2.7491635367984846</v>
      </c>
      <c r="S184" s="160">
        <f t="shared" si="113"/>
        <v>1.1985090187544336</v>
      </c>
      <c r="T184" s="160" t="str">
        <f t="shared" si="105"/>
        <v>1+0,00017231818782441i</v>
      </c>
      <c r="U184" s="160">
        <f t="shared" si="114"/>
        <v>1.0000000148467789</v>
      </c>
      <c r="V184" s="160">
        <f t="shared" si="115"/>
        <v>1.7231818611883001E-4</v>
      </c>
      <c r="W184" s="98" t="str">
        <f t="shared" si="106"/>
        <v>1-0,00147504368777695i</v>
      </c>
      <c r="X184" s="160">
        <f t="shared" si="116"/>
        <v>1.0000010878763488</v>
      </c>
      <c r="Y184" s="160">
        <f t="shared" si="117"/>
        <v>-1.4750426180010039E-3</v>
      </c>
      <c r="Z184" s="98" t="str">
        <f t="shared" si="107"/>
        <v>0,999999827330898+0,000571338983895638i</v>
      </c>
      <c r="AA184" s="160">
        <f t="shared" si="118"/>
        <v>0.99999999054503019</v>
      </c>
      <c r="AB184" s="160">
        <f t="shared" si="119"/>
        <v>5.7133902038116575E-4</v>
      </c>
      <c r="AC184" s="171" t="str">
        <f t="shared" si="120"/>
        <v>15,9109477968767-40,9718368043847i</v>
      </c>
      <c r="AD184" s="190">
        <f t="shared" si="121"/>
        <v>32.859733282751201</v>
      </c>
      <c r="AE184" s="169">
        <f t="shared" si="122"/>
        <v>-68.776884409349151</v>
      </c>
      <c r="AF184" s="98" t="str">
        <f t="shared" si="108"/>
        <v>-0,0000375877424711299</v>
      </c>
      <c r="AG184" s="98" t="str">
        <f t="shared" si="109"/>
        <v>2,90930540443546E-06i</v>
      </c>
      <c r="AH184" s="98">
        <f t="shared" si="123"/>
        <v>2.90930540443546E-6</v>
      </c>
      <c r="AI184" s="98">
        <f t="shared" si="124"/>
        <v>1.5707963267948966</v>
      </c>
      <c r="AJ184" s="98" t="str">
        <f t="shared" si="110"/>
        <v>1+0,00265366607113602i</v>
      </c>
      <c r="AK184" s="98">
        <f t="shared" si="125"/>
        <v>1.00000352096561</v>
      </c>
      <c r="AL184" s="98">
        <f t="shared" si="126"/>
        <v>2.6536598421733879E-3</v>
      </c>
      <c r="AM184" s="98" t="str">
        <f t="shared" si="111"/>
        <v>1+0,206781825389292i</v>
      </c>
      <c r="AN184" s="98">
        <f t="shared" si="127"/>
        <v>1.0211555823239316</v>
      </c>
      <c r="AO184" s="98">
        <f t="shared" si="128"/>
        <v>0.20390796015872176</v>
      </c>
      <c r="AP184" s="168" t="str">
        <f t="shared" si="129"/>
        <v>-2,63728333278495+12,9268323285521i</v>
      </c>
      <c r="AQ184" s="98">
        <f t="shared" si="130"/>
        <v>22.406946312991302</v>
      </c>
      <c r="AR184" s="169">
        <f t="shared" si="131"/>
        <v>101.5310220169966</v>
      </c>
      <c r="AS184" s="168" t="str">
        <f t="shared" si="132"/>
        <v>487,674387129567+313,732496676359i</v>
      </c>
      <c r="AT184" s="190">
        <f t="shared" si="133"/>
        <v>55.266679595742509</v>
      </c>
      <c r="AU184" s="169">
        <f t="shared" si="134"/>
        <v>32.754137607647422</v>
      </c>
      <c r="AV184" s="225"/>
      <c r="AX184">
        <f t="shared" si="135"/>
        <v>0</v>
      </c>
      <c r="AY184">
        <f t="shared" si="136"/>
        <v>0</v>
      </c>
    </row>
    <row r="185" spans="14:51" x14ac:dyDescent="0.25">
      <c r="N185" s="170">
        <v>67</v>
      </c>
      <c r="O185" s="199">
        <f t="shared" si="137"/>
        <v>467.7351412871983</v>
      </c>
      <c r="P185" s="189" t="str">
        <f t="shared" si="103"/>
        <v>120,833333333333</v>
      </c>
      <c r="Q185" s="160" t="str">
        <f t="shared" si="104"/>
        <v>1+2,62048935592034i</v>
      </c>
      <c r="R185" s="160">
        <f t="shared" si="112"/>
        <v>2.8048109498666389</v>
      </c>
      <c r="S185" s="160">
        <f t="shared" si="113"/>
        <v>1.2062448652810973</v>
      </c>
      <c r="T185" s="160" t="str">
        <f t="shared" si="105"/>
        <v>1+0,000176331994043237i</v>
      </c>
      <c r="U185" s="160">
        <f t="shared" si="114"/>
        <v>1.0000000155464859</v>
      </c>
      <c r="V185" s="160">
        <f t="shared" si="115"/>
        <v>1.763319922156751E-4</v>
      </c>
      <c r="W185" s="98" t="str">
        <f t="shared" si="106"/>
        <v>1-0,00150940186901011i</v>
      </c>
      <c r="X185" s="160">
        <f t="shared" si="116"/>
        <v>1.0000011391463521</v>
      </c>
      <c r="Y185" s="160">
        <f t="shared" si="117"/>
        <v>-1.5094007227246019E-3</v>
      </c>
      <c r="Z185" s="98" t="str">
        <f t="shared" si="107"/>
        <v>0,999999819193254+0,000584647178437213i</v>
      </c>
      <c r="AA185" s="160">
        <f t="shared" si="118"/>
        <v>0.99999999009943186</v>
      </c>
      <c r="AB185" s="160">
        <f t="shared" si="119"/>
        <v>5.8464721753216013E-4</v>
      </c>
      <c r="AC185" s="171" t="str">
        <f t="shared" si="120"/>
        <v>15,2823902751016-40,2790651871439i</v>
      </c>
      <c r="AD185" s="190">
        <f t="shared" si="121"/>
        <v>32.685673354854472</v>
      </c>
      <c r="AE185" s="169">
        <f t="shared" si="122"/>
        <v>-69.222616870061103</v>
      </c>
      <c r="AF185" s="98" t="str">
        <f t="shared" si="108"/>
        <v>-0,0000375877424711299</v>
      </c>
      <c r="AG185" s="98" t="str">
        <f t="shared" si="109"/>
        <v>2,97707183276333E-06i</v>
      </c>
      <c r="AH185" s="98">
        <f t="shared" si="123"/>
        <v>2.9770718327633301E-6</v>
      </c>
      <c r="AI185" s="98">
        <f t="shared" si="124"/>
        <v>1.5707963267948966</v>
      </c>
      <c r="AJ185" s="98" t="str">
        <f t="shared" si="110"/>
        <v>1+0,00271547789444669i</v>
      </c>
      <c r="AK185" s="98">
        <f t="shared" si="125"/>
        <v>1.0000036869033011</v>
      </c>
      <c r="AL185" s="98">
        <f t="shared" si="126"/>
        <v>2.7154712199943072E-3</v>
      </c>
      <c r="AM185" s="98" t="str">
        <f t="shared" si="111"/>
        <v>1+0,211598392851885i</v>
      </c>
      <c r="AN185" s="98">
        <f t="shared" si="127"/>
        <v>1.0221418100525488</v>
      </c>
      <c r="AO185" s="98">
        <f t="shared" si="128"/>
        <v>0.20852258202772317</v>
      </c>
      <c r="AP185" s="168" t="str">
        <f t="shared" si="129"/>
        <v>-2,63728245753884+12,632904018041i</v>
      </c>
      <c r="AQ185" s="98">
        <f t="shared" si="130"/>
        <v>22.215329618712886</v>
      </c>
      <c r="AR185" s="169">
        <f t="shared" si="131"/>
        <v>101.79187884306414</v>
      </c>
      <c r="AS185" s="168" t="str">
        <f t="shared" si="132"/>
        <v>468,537584663818+299,28824153572i</v>
      </c>
      <c r="AT185" s="190">
        <f t="shared" si="133"/>
        <v>54.901002973567365</v>
      </c>
      <c r="AU185" s="169">
        <f t="shared" si="134"/>
        <v>32.569261973003073</v>
      </c>
      <c r="AV185" s="225"/>
      <c r="AX185">
        <f t="shared" si="135"/>
        <v>0</v>
      </c>
      <c r="AY185">
        <f t="shared" si="136"/>
        <v>0</v>
      </c>
    </row>
    <row r="186" spans="14:51" x14ac:dyDescent="0.25">
      <c r="N186" s="170">
        <v>68</v>
      </c>
      <c r="O186" s="199">
        <f t="shared" si="137"/>
        <v>478.63009232263886</v>
      </c>
      <c r="P186" s="189" t="str">
        <f t="shared" si="103"/>
        <v>120,833333333333</v>
      </c>
      <c r="Q186" s="160" t="str">
        <f t="shared" si="104"/>
        <v>1+2,68152839425959i</v>
      </c>
      <c r="R186" s="160">
        <f t="shared" si="112"/>
        <v>2.8619214750269468</v>
      </c>
      <c r="S186" s="160">
        <f t="shared" si="113"/>
        <v>1.2138490132716702</v>
      </c>
      <c r="T186" s="160" t="str">
        <f t="shared" si="105"/>
        <v>1+0,000180439293819336i</v>
      </c>
      <c r="U186" s="160">
        <f t="shared" si="114"/>
        <v>1.0000000162791691</v>
      </c>
      <c r="V186" s="160">
        <f t="shared" si="115"/>
        <v>1.8043929186106815E-4</v>
      </c>
      <c r="W186" s="98" t="str">
        <f t="shared" si="106"/>
        <v>1-0,00154456035509352i</v>
      </c>
      <c r="X186" s="160">
        <f t="shared" si="116"/>
        <v>1.0000011928326338</v>
      </c>
      <c r="Y186" s="160">
        <f t="shared" si="117"/>
        <v>-1.544559126826548E-3</v>
      </c>
      <c r="Z186" s="98" t="str">
        <f t="shared" si="107"/>
        <v>0,999999810672095+0,000598265360651516i</v>
      </c>
      <c r="AA186" s="160">
        <f t="shared" si="118"/>
        <v>0.99999998963283376</v>
      </c>
      <c r="AB186" s="160">
        <f t="shared" si="119"/>
        <v>5.9826540254250612E-4</v>
      </c>
      <c r="AC186" s="171" t="str">
        <f t="shared" si="120"/>
        <v>14,6750518611134-39,5886899393138i</v>
      </c>
      <c r="AD186" s="190">
        <f t="shared" si="121"/>
        <v>32.510591446395686</v>
      </c>
      <c r="AE186" s="169">
        <f t="shared" si="122"/>
        <v>-69.660861818474203</v>
      </c>
      <c r="AF186" s="98" t="str">
        <f t="shared" si="108"/>
        <v>-0,0000375877424711299</v>
      </c>
      <c r="AG186" s="98" t="str">
        <f t="shared" si="109"/>
        <v>3,04641674398314E-06i</v>
      </c>
      <c r="AH186" s="98">
        <f t="shared" si="123"/>
        <v>3.0464167439831402E-6</v>
      </c>
      <c r="AI186" s="98">
        <f t="shared" si="124"/>
        <v>1.5707963267948966</v>
      </c>
      <c r="AJ186" s="98" t="str">
        <f t="shared" si="110"/>
        <v>1+0,0027787295000806i</v>
      </c>
      <c r="AK186" s="98">
        <f t="shared" si="125"/>
        <v>1.000003860661365</v>
      </c>
      <c r="AL186" s="98">
        <f t="shared" si="126"/>
        <v>2.778722348277511E-3</v>
      </c>
      <c r="AM186" s="98" t="str">
        <f t="shared" si="111"/>
        <v>1+0,216527152583204i</v>
      </c>
      <c r="AN186" s="98">
        <f t="shared" si="127"/>
        <v>1.0231734983891003</v>
      </c>
      <c r="AO186" s="98">
        <f t="shared" si="128"/>
        <v>0.21323537996045341</v>
      </c>
      <c r="AP186" s="168" t="str">
        <f t="shared" si="129"/>
        <v>-2,63728154104427+12,3456738402324i</v>
      </c>
      <c r="AQ186" s="98">
        <f t="shared" si="130"/>
        <v>22.024090701487481</v>
      </c>
      <c r="AR186" s="169">
        <f t="shared" si="131"/>
        <v>102.05827825160752</v>
      </c>
      <c r="AS186" s="168" t="str">
        <f t="shared" si="132"/>
        <v>450,046810365676+285,579925076879i</v>
      </c>
      <c r="AT186" s="190">
        <f t="shared" si="133"/>
        <v>54.53468214788316</v>
      </c>
      <c r="AU186" s="169">
        <f t="shared" si="134"/>
        <v>32.397416433133365</v>
      </c>
      <c r="AV186" s="225"/>
      <c r="AX186">
        <f t="shared" si="135"/>
        <v>0</v>
      </c>
      <c r="AY186">
        <f t="shared" si="136"/>
        <v>0</v>
      </c>
    </row>
    <row r="187" spans="14:51" x14ac:dyDescent="0.25">
      <c r="N187" s="170">
        <v>69</v>
      </c>
      <c r="O187" s="199">
        <f t="shared" si="137"/>
        <v>489.77881936844625</v>
      </c>
      <c r="P187" s="189" t="str">
        <f t="shared" si="103"/>
        <v>120,833333333333</v>
      </c>
      <c r="Q187" s="160" t="str">
        <f t="shared" si="104"/>
        <v>1+2,74398921444771i</v>
      </c>
      <c r="R187" s="160">
        <f t="shared" si="112"/>
        <v>2.9205268033362337</v>
      </c>
      <c r="S187" s="160">
        <f t="shared" si="113"/>
        <v>1.2213219759815741</v>
      </c>
      <c r="T187" s="160" t="str">
        <f t="shared" si="105"/>
        <v>1+0,000184642264897415i</v>
      </c>
      <c r="U187" s="160">
        <f t="shared" si="114"/>
        <v>1.0000000170463827</v>
      </c>
      <c r="V187" s="160">
        <f t="shared" si="115"/>
        <v>1.8464226279909322E-4</v>
      </c>
      <c r="W187" s="98" t="str">
        <f t="shared" si="106"/>
        <v>1-0,00158053778752187i</v>
      </c>
      <c r="X187" s="160">
        <f t="shared" si="116"/>
        <v>1.0000012490490688</v>
      </c>
      <c r="Y187" s="160">
        <f t="shared" si="117"/>
        <v>-1.5805364714101861E-3</v>
      </c>
      <c r="Z187" s="98" t="str">
        <f t="shared" si="107"/>
        <v>0,999999801749346+0,000612200751079015i</v>
      </c>
      <c r="AA187" s="160">
        <f t="shared" si="118"/>
        <v>0.99999998914424526</v>
      </c>
      <c r="AB187" s="160">
        <f t="shared" si="119"/>
        <v>6.1220079596601925E-4</v>
      </c>
      <c r="AC187" s="171" t="str">
        <f t="shared" si="120"/>
        <v>14,0884876695946-38,9013031730703i</v>
      </c>
      <c r="AD187" s="190">
        <f t="shared" si="121"/>
        <v>32.334522287965953</v>
      </c>
      <c r="AE187" s="169">
        <f t="shared" si="122"/>
        <v>-70.091650018945884</v>
      </c>
      <c r="AF187" s="98" t="str">
        <f t="shared" si="108"/>
        <v>-0,0000375877424711299</v>
      </c>
      <c r="AG187" s="98" t="str">
        <f t="shared" si="109"/>
        <v>3,11737690568469E-06i</v>
      </c>
      <c r="AH187" s="98">
        <f t="shared" si="123"/>
        <v>3.1173769056846902E-6</v>
      </c>
      <c r="AI187" s="98">
        <f t="shared" si="124"/>
        <v>1.5707963267948966</v>
      </c>
      <c r="AJ187" s="98" t="str">
        <f t="shared" si="110"/>
        <v>1+0,00284345442487628i</v>
      </c>
      <c r="AK187" s="98">
        <f t="shared" si="125"/>
        <v>1.0000040426083618</v>
      </c>
      <c r="AL187" s="98">
        <f t="shared" si="126"/>
        <v>2.8434467615828761E-3</v>
      </c>
      <c r="AM187" s="98" t="str">
        <f t="shared" si="111"/>
        <v>1+0,221570717876898i</v>
      </c>
      <c r="AN187" s="98">
        <f t="shared" si="127"/>
        <v>1.0242526949051605</v>
      </c>
      <c r="AO187" s="98">
        <f t="shared" si="128"/>
        <v>0.21804801496930204</v>
      </c>
      <c r="AP187" s="168" t="str">
        <f t="shared" si="129"/>
        <v>-2,63728058135733+12,0649895018682i</v>
      </c>
      <c r="AQ187" s="98">
        <f t="shared" si="130"/>
        <v>21.833245771296106</v>
      </c>
      <c r="AR187" s="169">
        <f t="shared" si="131"/>
        <v>102.33031349023756</v>
      </c>
      <c r="AS187" s="168" t="str">
        <f t="shared" si="132"/>
        <v>432,188519440371+272,571107278691i</v>
      </c>
      <c r="AT187" s="190">
        <f t="shared" si="133"/>
        <v>54.167768059262052</v>
      </c>
      <c r="AU187" s="169">
        <f t="shared" si="134"/>
        <v>32.238663471291702</v>
      </c>
      <c r="AV187" s="225"/>
      <c r="AX187">
        <f t="shared" si="135"/>
        <v>0</v>
      </c>
      <c r="AY187">
        <f t="shared" si="136"/>
        <v>0</v>
      </c>
    </row>
    <row r="188" spans="14:51" x14ac:dyDescent="0.25">
      <c r="N188" s="170">
        <v>70</v>
      </c>
      <c r="O188" s="199">
        <f t="shared" si="137"/>
        <v>501.18723362727269</v>
      </c>
      <c r="P188" s="189" t="str">
        <f t="shared" si="103"/>
        <v>120,833333333333</v>
      </c>
      <c r="Q188" s="160" t="str">
        <f t="shared" si="104"/>
        <v>1+2,80790493403831i</v>
      </c>
      <c r="R188" s="160">
        <f t="shared" si="112"/>
        <v>2.980659342930132</v>
      </c>
      <c r="S188" s="160">
        <f t="shared" si="113"/>
        <v>1.2286643760582292</v>
      </c>
      <c r="T188" s="160" t="str">
        <f t="shared" si="105"/>
        <v>1+0,000188943135748371i</v>
      </c>
      <c r="U188" s="160">
        <f t="shared" si="114"/>
        <v>1.0000000178497541</v>
      </c>
      <c r="V188" s="160">
        <f t="shared" si="115"/>
        <v>1.8894313349997869E-4</v>
      </c>
      <c r="W188" s="98" t="str">
        <f t="shared" si="106"/>
        <v>1-0,00161735324200606i</v>
      </c>
      <c r="X188" s="160">
        <f t="shared" si="116"/>
        <v>1.0000013079148993</v>
      </c>
      <c r="Y188" s="160">
        <f t="shared" si="117"/>
        <v>-1.6173518317670825E-3</v>
      </c>
      <c r="Z188" s="98" t="str">
        <f t="shared" si="107"/>
        <v>0,99999979240608+0,000626460738448169i</v>
      </c>
      <c r="AA188" s="160">
        <f t="shared" si="118"/>
        <v>0.99999998863262973</v>
      </c>
      <c r="AB188" s="160">
        <f t="shared" si="119"/>
        <v>6.2646078654546083E-4</v>
      </c>
      <c r="AC188" s="171" t="str">
        <f t="shared" si="120"/>
        <v>13,5222401844153-38,2174618197527i</v>
      </c>
      <c r="AD188" s="190">
        <f t="shared" si="121"/>
        <v>32.157499863625894</v>
      </c>
      <c r="AE188" s="169">
        <f t="shared" si="122"/>
        <v>-70.515018535141166</v>
      </c>
      <c r="AF188" s="98" t="str">
        <f t="shared" si="108"/>
        <v>-0,0000375877424711299</v>
      </c>
      <c r="AG188" s="98" t="str">
        <f t="shared" si="109"/>
        <v>3,18998994188501E-06i</v>
      </c>
      <c r="AH188" s="98">
        <f t="shared" si="123"/>
        <v>3.1899899418850099E-6</v>
      </c>
      <c r="AI188" s="98">
        <f t="shared" si="124"/>
        <v>1.5707963267948966</v>
      </c>
      <c r="AJ188" s="98" t="str">
        <f t="shared" si="110"/>
        <v>1+0,0029096869868456i</v>
      </c>
      <c r="AK188" s="98">
        <f t="shared" si="125"/>
        <v>1.000004233130221</v>
      </c>
      <c r="AL188" s="98">
        <f t="shared" si="126"/>
        <v>2.9096787754806534E-3</v>
      </c>
      <c r="AM188" s="98" t="str">
        <f t="shared" si="111"/>
        <v>1+0,226731762898046i</v>
      </c>
      <c r="AN188" s="98">
        <f t="shared" si="127"/>
        <v>1.0253815349940996</v>
      </c>
      <c r="AO188" s="98">
        <f t="shared" si="128"/>
        <v>0.22296214662703942</v>
      </c>
      <c r="AP188" s="168" t="str">
        <f t="shared" si="129"/>
        <v>-2,63727957644248+11,7907021803795i</v>
      </c>
      <c r="AQ188" s="98">
        <f t="shared" si="130"/>
        <v>21.642811659069061</v>
      </c>
      <c r="AR188" s="169">
        <f t="shared" si="131"/>
        <v>102.60807767933258</v>
      </c>
      <c r="AS188" s="168" t="str">
        <f t="shared" si="132"/>
        <v>414,94878254062+260,226838346705i</v>
      </c>
      <c r="AT188" s="190">
        <f t="shared" si="133"/>
        <v>53.800311522694955</v>
      </c>
      <c r="AU188" s="169">
        <f t="shared" si="134"/>
        <v>32.093059144191436</v>
      </c>
      <c r="AV188" s="225"/>
      <c r="AX188">
        <f t="shared" si="135"/>
        <v>0</v>
      </c>
      <c r="AY188">
        <f t="shared" si="136"/>
        <v>0</v>
      </c>
    </row>
    <row r="189" spans="14:51" x14ac:dyDescent="0.25">
      <c r="N189" s="170">
        <v>71</v>
      </c>
      <c r="O189" s="199">
        <f t="shared" si="137"/>
        <v>512.86138399136519</v>
      </c>
      <c r="P189" s="189" t="str">
        <f t="shared" si="103"/>
        <v>120,833333333333</v>
      </c>
      <c r="Q189" s="160" t="str">
        <f t="shared" si="104"/>
        <v>1+2,87330944199195i</v>
      </c>
      <c r="R189" s="160">
        <f t="shared" si="112"/>
        <v>3.0423522395409921</v>
      </c>
      <c r="S189" s="160">
        <f t="shared" si="113"/>
        <v>1.235876938894632</v>
      </c>
      <c r="T189" s="160" t="str">
        <f t="shared" si="105"/>
        <v>1+0,000193344186750859i</v>
      </c>
      <c r="U189" s="160">
        <f t="shared" si="114"/>
        <v>1.0000000186909872</v>
      </c>
      <c r="V189" s="160">
        <f t="shared" si="115"/>
        <v>1.9334418434166322E-4</v>
      </c>
      <c r="W189" s="98" t="str">
        <f t="shared" si="106"/>
        <v>1-0,00165502623858736i</v>
      </c>
      <c r="X189" s="160">
        <f t="shared" si="116"/>
        <v>1.0000013695549874</v>
      </c>
      <c r="Y189" s="160">
        <f t="shared" si="117"/>
        <v>-1.6550247274891823E-3</v>
      </c>
      <c r="Z189" s="98" t="str">
        <f t="shared" si="107"/>
        <v>0,99999978262248+0,000641052883593038i</v>
      </c>
      <c r="AA189" s="160">
        <f t="shared" si="118"/>
        <v>0.99999998809690327</v>
      </c>
      <c r="AB189" s="160">
        <f t="shared" si="119"/>
        <v>6.4105293513021429E-4</v>
      </c>
      <c r="AC189" s="171" t="str">
        <f t="shared" si="120"/>
        <v>12,9758414438886-37,537688202322i</v>
      </c>
      <c r="AD189" s="190">
        <f t="shared" si="121"/>
        <v>31.979557391840537</v>
      </c>
      <c r="AE189" s="169">
        <f t="shared" si="122"/>
        <v>-70.931010349956097</v>
      </c>
      <c r="AF189" s="98" t="str">
        <f t="shared" si="108"/>
        <v>-0,0000375877424711299</v>
      </c>
      <c r="AG189" s="98" t="str">
        <f t="shared" si="109"/>
        <v>3,26429435297702E-06i</v>
      </c>
      <c r="AH189" s="98">
        <f t="shared" si="123"/>
        <v>3.26429435297702E-6</v>
      </c>
      <c r="AI189" s="98">
        <f t="shared" si="124"/>
        <v>1.5707963267948966</v>
      </c>
      <c r="AJ189" s="98" t="str">
        <f t="shared" si="110"/>
        <v>1+0,0029774623033696i</v>
      </c>
      <c r="AK189" s="98">
        <f t="shared" si="125"/>
        <v>1.00000443263106</v>
      </c>
      <c r="AL189" s="98">
        <f t="shared" si="126"/>
        <v>2.9774535047356436E-3</v>
      </c>
      <c r="AM189" s="98" t="str">
        <f t="shared" si="111"/>
        <v>1+0,232013024101032i</v>
      </c>
      <c r="AN189" s="98">
        <f t="shared" si="127"/>
        <v>1.0265622452401539</v>
      </c>
      <c r="AO189" s="98">
        <f t="shared" si="128"/>
        <v>0.22797943068189427</v>
      </c>
      <c r="AP189" s="168" t="str">
        <f t="shared" si="129"/>
        <v>-2,63727852416827+11,5226664449796i</v>
      </c>
      <c r="AQ189" s="98">
        <f t="shared" si="130"/>
        <v>21.45280583364892</v>
      </c>
      <c r="AR189" s="169">
        <f t="shared" si="131"/>
        <v>102.89166367435008</v>
      </c>
      <c r="AS189" s="168" t="str">
        <f t="shared" si="132"/>
        <v>398,313352298022+248,513631743779i</v>
      </c>
      <c r="AT189" s="190">
        <f t="shared" si="133"/>
        <v>53.432363225489453</v>
      </c>
      <c r="AU189" s="169">
        <f t="shared" si="134"/>
        <v>31.960653324393977</v>
      </c>
      <c r="AV189" s="225"/>
      <c r="AX189">
        <f t="shared" si="135"/>
        <v>0</v>
      </c>
      <c r="AY189">
        <f t="shared" si="136"/>
        <v>0</v>
      </c>
    </row>
    <row r="190" spans="14:51" x14ac:dyDescent="0.25">
      <c r="N190" s="170">
        <v>72</v>
      </c>
      <c r="O190" s="199">
        <f t="shared" si="137"/>
        <v>524.80746024977248</v>
      </c>
      <c r="P190" s="189" t="str">
        <f t="shared" si="103"/>
        <v>120,833333333333</v>
      </c>
      <c r="Q190" s="160" t="str">
        <f t="shared" si="104"/>
        <v>1+2,9402374166445i</v>
      </c>
      <c r="R190" s="160">
        <f t="shared" si="112"/>
        <v>3.1056393973280807</v>
      </c>
      <c r="S190" s="160">
        <f t="shared" si="113"/>
        <v>1.2429604861023988</v>
      </c>
      <c r="T190" s="160" t="str">
        <f t="shared" si="105"/>
        <v>1+0,000197847751400376i</v>
      </c>
      <c r="U190" s="160">
        <f t="shared" si="114"/>
        <v>1.0000000195718661</v>
      </c>
      <c r="V190" s="160">
        <f t="shared" si="115"/>
        <v>1.9784774881887623E-4</v>
      </c>
      <c r="W190" s="98" t="str">
        <f t="shared" si="106"/>
        <v>1-0,00169357675198722i</v>
      </c>
      <c r="X190" s="160">
        <f t="shared" si="116"/>
        <v>1.0000014341000791</v>
      </c>
      <c r="Y190" s="160">
        <f t="shared" si="117"/>
        <v>-1.693575132816476E-3</v>
      </c>
      <c r="Z190" s="98" t="str">
        <f t="shared" si="107"/>
        <v>0,999999772377793+0,000655984923462127i</v>
      </c>
      <c r="AA190" s="160">
        <f t="shared" si="118"/>
        <v>0.99999998753592867</v>
      </c>
      <c r="AB190" s="160">
        <f t="shared" si="119"/>
        <v>6.559849786852062E-4</v>
      </c>
      <c r="AC190" s="171" t="str">
        <f t="shared" si="120"/>
        <v>12,4488151026457-36,8624707154121i</v>
      </c>
      <c r="AD190" s="190">
        <f t="shared" si="121"/>
        <v>31.800727309927794</v>
      </c>
      <c r="AE190" s="169">
        <f t="shared" si="122"/>
        <v>-71.339673992304498</v>
      </c>
      <c r="AF190" s="98" t="str">
        <f t="shared" si="108"/>
        <v>-0,0000375877424711299</v>
      </c>
      <c r="AG190" s="98" t="str">
        <f t="shared" si="109"/>
        <v>3,34032953614302E-06i</v>
      </c>
      <c r="AH190" s="98">
        <f t="shared" si="123"/>
        <v>3.3403295361430198E-6</v>
      </c>
      <c r="AI190" s="98">
        <f t="shared" si="124"/>
        <v>1.5707963267948966</v>
      </c>
      <c r="AJ190" s="98" t="str">
        <f t="shared" si="110"/>
        <v>1+0,00304681630981823i</v>
      </c>
      <c r="AK190" s="98">
        <f t="shared" si="125"/>
        <v>1.0000046415340409</v>
      </c>
      <c r="AL190" s="98">
        <f t="shared" si="126"/>
        <v>3.0468068819144494E-3</v>
      </c>
      <c r="AM190" s="98" t="str">
        <f t="shared" si="111"/>
        <v>1+0,237417301680452i</v>
      </c>
      <c r="AN190" s="98">
        <f t="shared" si="127"/>
        <v>1.0277971468812446</v>
      </c>
      <c r="AO190" s="98">
        <f t="shared" si="128"/>
        <v>0.23310151650475816</v>
      </c>
      <c r="AP190" s="168" t="str">
        <f t="shared" si="129"/>
        <v>-2,63727742230281+11,260740179554i</v>
      </c>
      <c r="AQ190" s="98">
        <f t="shared" si="130"/>
        <v>21.263246418566922</v>
      </c>
      <c r="AR190" s="169">
        <f t="shared" si="131"/>
        <v>103.18116391849661</v>
      </c>
      <c r="AS190" s="168" t="str">
        <f t="shared" si="132"/>
        <v>382,267726098044+237,399434162256i</v>
      </c>
      <c r="AT190" s="190">
        <f t="shared" si="133"/>
        <v>53.063973728494716</v>
      </c>
      <c r="AU190" s="169">
        <f t="shared" si="134"/>
        <v>31.841489926192125</v>
      </c>
      <c r="AV190" s="225"/>
      <c r="AX190">
        <f t="shared" si="135"/>
        <v>0</v>
      </c>
      <c r="AY190">
        <f t="shared" si="136"/>
        <v>0</v>
      </c>
    </row>
    <row r="191" spans="14:51" x14ac:dyDescent="0.25">
      <c r="N191" s="170">
        <v>73</v>
      </c>
      <c r="O191" s="199">
        <f t="shared" si="137"/>
        <v>537.03179637025301</v>
      </c>
      <c r="P191" s="189" t="str">
        <f t="shared" si="103"/>
        <v>120,833333333333</v>
      </c>
      <c r="Q191" s="160" t="str">
        <f t="shared" si="104"/>
        <v>1+3,00872434409398i</v>
      </c>
      <c r="R191" s="160">
        <f t="shared" si="112"/>
        <v>3.1705555000257846</v>
      </c>
      <c r="S191" s="160">
        <f t="shared" si="113"/>
        <v>1.2499159291234521</v>
      </c>
      <c r="T191" s="160" t="str">
        <f t="shared" si="105"/>
        <v>1+0,000202456217546509i</v>
      </c>
      <c r="U191" s="160">
        <f t="shared" si="114"/>
        <v>1.0000000204942598</v>
      </c>
      <c r="V191" s="160">
        <f t="shared" si="115"/>
        <v>2.0245621478038215E-4</v>
      </c>
      <c r="W191" s="98" t="str">
        <f t="shared" si="106"/>
        <v>1-0,00173302522219812i</v>
      </c>
      <c r="X191" s="160">
        <f t="shared" si="116"/>
        <v>1.0000015016870829</v>
      </c>
      <c r="Y191" s="160">
        <f t="shared" si="117"/>
        <v>-1.73302348722555E-3</v>
      </c>
      <c r="Z191" s="98" t="str">
        <f t="shared" si="107"/>
        <v>0,999999761650289+0,00067126477522062i</v>
      </c>
      <c r="AA191" s="160">
        <f t="shared" si="118"/>
        <v>0.99999998694851666</v>
      </c>
      <c r="AB191" s="160">
        <f t="shared" si="119"/>
        <v>6.7126483439321509E-4</v>
      </c>
      <c r="AC191" s="171" t="str">
        <f t="shared" si="120"/>
        <v>11,9406783686917-36,1922645992692i</v>
      </c>
      <c r="AD191" s="190">
        <f t="shared" si="121"/>
        <v>31.621041261813566</v>
      </c>
      <c r="AE191" s="169">
        <f t="shared" si="122"/>
        <v>-71.741063171864909</v>
      </c>
      <c r="AF191" s="98" t="str">
        <f t="shared" si="108"/>
        <v>-0,0000375877424711299</v>
      </c>
      <c r="AG191" s="98" t="str">
        <f t="shared" si="109"/>
        <v>3,41813580624358E-06i</v>
      </c>
      <c r="AH191" s="98">
        <f t="shared" si="123"/>
        <v>3.41813580624358E-6</v>
      </c>
      <c r="AI191" s="98">
        <f t="shared" si="124"/>
        <v>1.5707963267948966</v>
      </c>
      <c r="AJ191" s="98" t="str">
        <f t="shared" si="110"/>
        <v>1+0,0031177857786037i</v>
      </c>
      <c r="AK191" s="98">
        <f t="shared" si="125"/>
        <v>1.0000048602822695</v>
      </c>
      <c r="AL191" s="98">
        <f t="shared" si="126"/>
        <v>3.1177756764254431E-3</v>
      </c>
      <c r="AM191" s="98" t="str">
        <f t="shared" si="111"/>
        <v>1+0,242947461055812i</v>
      </c>
      <c r="AN191" s="98">
        <f t="shared" si="127"/>
        <v>1.0290886593649087</v>
      </c>
      <c r="AO191" s="98">
        <f t="shared" si="128"/>
        <v>0.23833004436220262</v>
      </c>
      <c r="AP191" s="168" t="str">
        <f t="shared" si="129"/>
        <v>-2,63727626850901+11,0047845073085i</v>
      </c>
      <c r="AQ191" s="98">
        <f t="shared" si="130"/>
        <v>21.074152208556399</v>
      </c>
      <c r="AR191" s="169">
        <f t="shared" si="131"/>
        <v>103.47667028539219</v>
      </c>
      <c r="AS191" s="168" t="str">
        <f t="shared" si="132"/>
        <v>366,797205054798+226,853592849784i</v>
      </c>
      <c r="AT191" s="190">
        <f t="shared" si="133"/>
        <v>52.695193470369965</v>
      </c>
      <c r="AU191" s="169">
        <f t="shared" si="134"/>
        <v>31.735607113527347</v>
      </c>
      <c r="AV191" s="225"/>
      <c r="AX191">
        <f t="shared" si="135"/>
        <v>0</v>
      </c>
      <c r="AY191">
        <f t="shared" si="136"/>
        <v>0</v>
      </c>
    </row>
    <row r="192" spans="14:51" x14ac:dyDescent="0.25">
      <c r="N192" s="170">
        <v>74</v>
      </c>
      <c r="O192" s="199">
        <f t="shared" si="137"/>
        <v>549.54087385762534</v>
      </c>
      <c r="P192" s="189" t="str">
        <f t="shared" si="103"/>
        <v>120,833333333333</v>
      </c>
      <c r="Q192" s="160" t="str">
        <f t="shared" si="104"/>
        <v>1+3,07880653701588i</v>
      </c>
      <c r="R192" s="160">
        <f t="shared" si="112"/>
        <v>3.2371360324168821</v>
      </c>
      <c r="S192" s="160">
        <f t="shared" si="113"/>
        <v>1.2567442629969958</v>
      </c>
      <c r="T192" s="160" t="str">
        <f t="shared" si="105"/>
        <v>1+0,000207172028659011i</v>
      </c>
      <c r="U192" s="160">
        <f t="shared" si="114"/>
        <v>1.0000000214601243</v>
      </c>
      <c r="V192" s="160">
        <f t="shared" si="115"/>
        <v>2.0717202569505268E-4</v>
      </c>
      <c r="W192" s="98" t="str">
        <f t="shared" si="106"/>
        <v>1-0,00177339256532114i</v>
      </c>
      <c r="X192" s="160">
        <f t="shared" si="116"/>
        <v>1.0000015724593592</v>
      </c>
      <c r="Y192" s="160">
        <f t="shared" si="117"/>
        <v>-1.7733907062646953E-3</v>
      </c>
      <c r="Z192" s="98" t="str">
        <f t="shared" si="107"/>
        <v>0,999999750417213+0,000686900540448177i</v>
      </c>
      <c r="AA192" s="160">
        <f t="shared" si="118"/>
        <v>0.99999998633342024</v>
      </c>
      <c r="AB192" s="160">
        <f t="shared" si="119"/>
        <v>6.8690060385275475E-4</v>
      </c>
      <c r="AC192" s="171" t="str">
        <f t="shared" si="120"/>
        <v>11,4509438153438-35,5274927945345i</v>
      </c>
      <c r="AD192" s="190">
        <f t="shared" si="121"/>
        <v>31.440530088887542</v>
      </c>
      <c r="AE192" s="169">
        <f t="shared" si="122"/>
        <v>-72.135236422743915</v>
      </c>
      <c r="AF192" s="98" t="str">
        <f t="shared" si="108"/>
        <v>-0,0000375877424711299</v>
      </c>
      <c r="AG192" s="98" t="str">
        <f t="shared" si="109"/>
        <v>3,49775441719298E-06i</v>
      </c>
      <c r="AH192" s="98">
        <f t="shared" si="123"/>
        <v>3.4977544171929799E-6</v>
      </c>
      <c r="AI192" s="98">
        <f t="shared" si="124"/>
        <v>1.5707963267948966</v>
      </c>
      <c r="AJ192" s="98" t="str">
        <f t="shared" si="110"/>
        <v>1+0,00319040833867776i</v>
      </c>
      <c r="AK192" s="98">
        <f t="shared" si="125"/>
        <v>1.000005089339733</v>
      </c>
      <c r="AL192" s="98">
        <f t="shared" si="126"/>
        <v>3.1903975140017081E-3</v>
      </c>
      <c r="AM192" s="98" t="str">
        <f t="shared" si="111"/>
        <v>1+0,248606434390814i</v>
      </c>
      <c r="AN192" s="98">
        <f t="shared" si="127"/>
        <v>1.0304393039963655</v>
      </c>
      <c r="AO192" s="98">
        <f t="shared" si="128"/>
        <v>0.24366664250920611</v>
      </c>
      <c r="AP192" s="168" t="str">
        <f t="shared" si="129"/>
        <v>-2,63727506033968+10,7546637171353i</v>
      </c>
      <c r="AQ192" s="98">
        <f t="shared" si="130"/>
        <v>20.885542685718654</v>
      </c>
      <c r="AR192" s="169">
        <f t="shared" si="131"/>
        <v>103.77827391137916</v>
      </c>
      <c r="AS192" s="168" t="str">
        <f t="shared" si="132"/>
        <v>351,886949176609+216,846820681256i</v>
      </c>
      <c r="AT192" s="190">
        <f t="shared" si="133"/>
        <v>52.326072774606196</v>
      </c>
      <c r="AU192" s="169">
        <f t="shared" si="134"/>
        <v>31.643037488635215</v>
      </c>
      <c r="AV192" s="225"/>
      <c r="AX192">
        <f t="shared" si="135"/>
        <v>0</v>
      </c>
      <c r="AY192">
        <f t="shared" si="136"/>
        <v>0</v>
      </c>
    </row>
    <row r="193" spans="14:51" x14ac:dyDescent="0.25">
      <c r="N193" s="170">
        <v>75</v>
      </c>
      <c r="O193" s="199">
        <f t="shared" si="137"/>
        <v>562.34132519034927</v>
      </c>
      <c r="P193" s="189" t="str">
        <f t="shared" si="103"/>
        <v>120,833333333333</v>
      </c>
      <c r="Q193" s="160" t="str">
        <f t="shared" si="104"/>
        <v>1+3,15052115391652i</v>
      </c>
      <c r="R193" s="160">
        <f t="shared" si="112"/>
        <v>3.3054173021383368</v>
      </c>
      <c r="S193" s="160">
        <f t="shared" si="113"/>
        <v>1.2634465602959495</v>
      </c>
      <c r="T193" s="160" t="str">
        <f t="shared" si="105"/>
        <v>1+0,000211997685123354i</v>
      </c>
      <c r="U193" s="160">
        <f t="shared" si="114"/>
        <v>1.0000000224715089</v>
      </c>
      <c r="V193" s="160">
        <f t="shared" si="115"/>
        <v>2.1199768194741546E-4</v>
      </c>
      <c r="W193" s="98" t="str">
        <f t="shared" si="106"/>
        <v>1-0,00181470018465591i</v>
      </c>
      <c r="X193" s="160">
        <f t="shared" si="116"/>
        <v>1.0000016465670245</v>
      </c>
      <c r="Y193" s="160">
        <f t="shared" si="117"/>
        <v>-1.814698192641217E-3</v>
      </c>
      <c r="Z193" s="98" t="str">
        <f t="shared" si="107"/>
        <v>0,999999738654739+0,000702900509434482i</v>
      </c>
      <c r="AA193" s="160">
        <f t="shared" si="118"/>
        <v>0.99999998568933623</v>
      </c>
      <c r="AB193" s="160">
        <f t="shared" si="119"/>
        <v>7.0290057737371059E-4</v>
      </c>
      <c r="AC193" s="171" t="str">
        <f t="shared" si="120"/>
        <v>10,9791210687705-34,8685468655257i</v>
      </c>
      <c r="AD193" s="190">
        <f t="shared" si="121"/>
        <v>31.259223823753022</v>
      </c>
      <c r="AE193" s="169">
        <f t="shared" si="122"/>
        <v>-72.522256756866099</v>
      </c>
      <c r="AF193" s="98" t="str">
        <f t="shared" si="108"/>
        <v>-0,0000375877424711299</v>
      </c>
      <c r="AG193" s="98" t="str">
        <f t="shared" si="109"/>
        <v>3,57922758383263E-06i</v>
      </c>
      <c r="AH193" s="98">
        <f t="shared" si="123"/>
        <v>3.5792275838326302E-6</v>
      </c>
      <c r="AI193" s="98">
        <f t="shared" si="124"/>
        <v>1.5707963267948966</v>
      </c>
      <c r="AJ193" s="98" t="str">
        <f t="shared" si="110"/>
        <v>1+0,00326472249548303i</v>
      </c>
      <c r="AK193" s="98">
        <f t="shared" si="125"/>
        <v>1.0000053291922861</v>
      </c>
      <c r="AL193" s="98">
        <f t="shared" si="126"/>
        <v>3.2647108966370056E-3</v>
      </c>
      <c r="AM193" s="98" t="str">
        <f t="shared" si="111"/>
        <v>1+0,254397222148025i</v>
      </c>
      <c r="AN193" s="98">
        <f t="shared" si="127"/>
        <v>1.0318517076773346</v>
      </c>
      <c r="AO193" s="98">
        <f t="shared" si="128"/>
        <v>0.24911292409572525</v>
      </c>
      <c r="AP193" s="168" t="str">
        <f t="shared" si="129"/>
        <v>-2,63727379523226+10,5102451916562i</v>
      </c>
      <c r="AQ193" s="98">
        <f t="shared" si="130"/>
        <v>20.69743803524775</v>
      </c>
      <c r="AR193" s="169">
        <f t="shared" si="131"/>
        <v>104.08606501714023</v>
      </c>
      <c r="AS193" s="168" t="str">
        <f t="shared" si="132"/>
        <v>337,522028744079+207,351159347935i</v>
      </c>
      <c r="AT193" s="190">
        <f t="shared" si="133"/>
        <v>51.956661859000761</v>
      </c>
      <c r="AU193" s="169">
        <f t="shared" si="134"/>
        <v>31.563808260274129</v>
      </c>
      <c r="AV193" s="225"/>
      <c r="AX193">
        <f t="shared" si="135"/>
        <v>0</v>
      </c>
      <c r="AY193">
        <f t="shared" si="136"/>
        <v>0</v>
      </c>
    </row>
    <row r="194" spans="14:51" x14ac:dyDescent="0.25">
      <c r="N194" s="170">
        <v>76</v>
      </c>
      <c r="O194" s="199">
        <f t="shared" si="137"/>
        <v>575.43993733715706</v>
      </c>
      <c r="P194" s="189" t="str">
        <f t="shared" si="103"/>
        <v>120,833333333333</v>
      </c>
      <c r="Q194" s="160" t="str">
        <f t="shared" si="104"/>
        <v>1+3,22390621883505i</v>
      </c>
      <c r="R194" s="160">
        <f t="shared" si="112"/>
        <v>3.3754364618287971</v>
      </c>
      <c r="S194" s="160">
        <f t="shared" si="113"/>
        <v>1.270023965244804</v>
      </c>
      <c r="T194" s="160" t="str">
        <f t="shared" si="105"/>
        <v>1+0,00021693574556647i</v>
      </c>
      <c r="U194" s="160">
        <f t="shared" si="114"/>
        <v>1.0000000235305586</v>
      </c>
      <c r="V194" s="160">
        <f t="shared" si="115"/>
        <v>2.1693574216339053E-4</v>
      </c>
      <c r="W194" s="98" t="str">
        <f t="shared" si="106"/>
        <v>1-0,00185696998204898i</v>
      </c>
      <c r="X194" s="160">
        <f t="shared" si="116"/>
        <v>1.0000017241672707</v>
      </c>
      <c r="Y194" s="160">
        <f t="shared" si="117"/>
        <v>-1.856967847566979E-3</v>
      </c>
      <c r="Z194" s="98" t="str">
        <f t="shared" si="107"/>
        <v>0,999999726337916+0,000719273165574878i</v>
      </c>
      <c r="AA194" s="160">
        <f t="shared" si="118"/>
        <v>0.99999998501489673</v>
      </c>
      <c r="AB194" s="160">
        <f t="shared" si="119"/>
        <v>7.1927323837307278E-4</v>
      </c>
      <c r="AC194" s="171" t="str">
        <f t="shared" si="120"/>
        <v>10,5247183727351-34,215787980421i</v>
      </c>
      <c r="AD194" s="190">
        <f t="shared" si="121"/>
        <v>31.077151686666017</v>
      </c>
      <c r="AE194" s="169">
        <f t="shared" si="122"/>
        <v>-72.902191327777913</v>
      </c>
      <c r="AF194" s="98" t="str">
        <f t="shared" si="108"/>
        <v>-0,0000375877424711299</v>
      </c>
      <c r="AG194" s="98" t="str">
        <f t="shared" si="109"/>
        <v>0,0000036625985043139i</v>
      </c>
      <c r="AH194" s="98">
        <f t="shared" si="123"/>
        <v>3.6625985043139002E-6</v>
      </c>
      <c r="AI194" s="98">
        <f t="shared" si="124"/>
        <v>1.5707963267948966</v>
      </c>
      <c r="AJ194" s="98" t="str">
        <f t="shared" si="110"/>
        <v>1+0,00334076765136913i</v>
      </c>
      <c r="AK194" s="98">
        <f t="shared" si="125"/>
        <v>1.00000558034868</v>
      </c>
      <c r="AL194" s="98">
        <f t="shared" si="126"/>
        <v>3.3407552229854426E-3</v>
      </c>
      <c r="AM194" s="98" t="str">
        <f t="shared" si="111"/>
        <v>1+0,260322894679764i</v>
      </c>
      <c r="AN194" s="98">
        <f t="shared" si="127"/>
        <v>1.033328606733817</v>
      </c>
      <c r="AO194" s="98">
        <f t="shared" si="128"/>
        <v>0.25467048388159325</v>
      </c>
      <c r="AP194" s="168" t="str">
        <f t="shared" si="129"/>
        <v>-2,63727247050347+10,2713993369079i</v>
      </c>
      <c r="AQ194" s="98">
        <f t="shared" si="130"/>
        <v>20.509859160616969</v>
      </c>
      <c r="AR194" s="169">
        <f t="shared" si="131"/>
        <v>104.40013271830644</v>
      </c>
      <c r="AS194" s="168" t="str">
        <f t="shared" si="132"/>
        <v>323,687471949661+198,339941012202i</v>
      </c>
      <c r="AT194" s="190">
        <f t="shared" si="133"/>
        <v>51.58701084728299</v>
      </c>
      <c r="AU194" s="169">
        <f t="shared" si="134"/>
        <v>31.497941390528613</v>
      </c>
      <c r="AV194" s="225"/>
      <c r="AX194">
        <f t="shared" si="135"/>
        <v>0</v>
      </c>
      <c r="AY194">
        <f t="shared" si="136"/>
        <v>0</v>
      </c>
    </row>
    <row r="195" spans="14:51" x14ac:dyDescent="0.25">
      <c r="N195" s="170">
        <v>77</v>
      </c>
      <c r="O195" s="199">
        <f t="shared" si="137"/>
        <v>588.84365535558959</v>
      </c>
      <c r="P195" s="189" t="str">
        <f t="shared" si="103"/>
        <v>120,833333333333</v>
      </c>
      <c r="Q195" s="160" t="str">
        <f t="shared" si="104"/>
        <v>1+3,29900064150425i</v>
      </c>
      <c r="R195" s="160">
        <f t="shared" si="112"/>
        <v>3.4472315316272937</v>
      </c>
      <c r="S195" s="160">
        <f t="shared" si="113"/>
        <v>1.2764776880286646</v>
      </c>
      <c r="T195" s="160" t="str">
        <f t="shared" si="105"/>
        <v>1+0,000221988828213369i</v>
      </c>
      <c r="U195" s="160">
        <f t="shared" si="114"/>
        <v>1.0000000246395198</v>
      </c>
      <c r="V195" s="160">
        <f t="shared" si="115"/>
        <v>2.2198882456690369E-4</v>
      </c>
      <c r="W195" s="98" t="str">
        <f t="shared" si="106"/>
        <v>1-0,00190022436950644i</v>
      </c>
      <c r="X195" s="160">
        <f t="shared" si="116"/>
        <v>1.0000018054246975</v>
      </c>
      <c r="Y195" s="160">
        <f t="shared" si="117"/>
        <v>-1.9002220823679922E-3</v>
      </c>
      <c r="Z195" s="98" t="str">
        <f t="shared" si="107"/>
        <v>0,999999713440619+0,000736027189868367i</v>
      </c>
      <c r="AA195" s="160">
        <f t="shared" si="118"/>
        <v>0.99999998430867199</v>
      </c>
      <c r="AB195" s="160">
        <f t="shared" si="119"/>
        <v>7.3602726787303787E-4</v>
      </c>
      <c r="AC195" s="171" t="str">
        <f t="shared" si="120"/>
        <v>10,0872440329205-33,5695479375239i</v>
      </c>
      <c r="AD195" s="190">
        <f t="shared" si="121"/>
        <v>30.894342084462455</v>
      </c>
      <c r="AE195" s="169">
        <f t="shared" si="122"/>
        <v>-73.275111105425594</v>
      </c>
      <c r="AF195" s="98" t="str">
        <f t="shared" si="108"/>
        <v>-0,0000375877424711299</v>
      </c>
      <c r="AG195" s="98" t="str">
        <f t="shared" si="109"/>
        <v>3,74791138300239E-06i</v>
      </c>
      <c r="AH195" s="98">
        <f t="shared" si="123"/>
        <v>3.7479113830023899E-6</v>
      </c>
      <c r="AI195" s="98">
        <f t="shared" si="124"/>
        <v>1.5707963267948966</v>
      </c>
      <c r="AJ195" s="98" t="str">
        <f t="shared" si="110"/>
        <v>1+0,00341858412648426i</v>
      </c>
      <c r="AK195" s="98">
        <f t="shared" si="125"/>
        <v>1.0000058433416426</v>
      </c>
      <c r="AL195" s="98">
        <f t="shared" si="126"/>
        <v>3.4185708092354084E-3</v>
      </c>
      <c r="AM195" s="98" t="str">
        <f t="shared" si="111"/>
        <v>1+0,266386593856043i</v>
      </c>
      <c r="AN195" s="98">
        <f t="shared" si="127"/>
        <v>1.034872850830586</v>
      </c>
      <c r="AO195" s="98">
        <f t="shared" si="128"/>
        <v>0.26034089475461974</v>
      </c>
      <c r="AP195" s="168" t="str">
        <f t="shared" si="129"/>
        <v>-2,63727108334355+10,0379995136288i</v>
      </c>
      <c r="AQ195" s="98">
        <f t="shared" si="130"/>
        <v>20.322827698116761</v>
      </c>
      <c r="AR195" s="169">
        <f t="shared" si="131"/>
        <v>104.7205648247635</v>
      </c>
      <c r="AS195" s="168" t="str">
        <f t="shared" si="132"/>
        <v>310,368308870953+189,787748752858i</v>
      </c>
      <c r="AT195" s="190">
        <f t="shared" si="133"/>
        <v>51.217169782579219</v>
      </c>
      <c r="AU195" s="169">
        <f t="shared" si="134"/>
        <v>31.44545371933788</v>
      </c>
      <c r="AV195" s="225"/>
      <c r="AX195">
        <f t="shared" si="135"/>
        <v>0</v>
      </c>
      <c r="AY195">
        <f t="shared" si="136"/>
        <v>0</v>
      </c>
    </row>
    <row r="196" spans="14:51" x14ac:dyDescent="0.25">
      <c r="N196" s="170">
        <v>78</v>
      </c>
      <c r="O196" s="199">
        <f t="shared" si="137"/>
        <v>602.55958607435832</v>
      </c>
      <c r="P196" s="189" t="str">
        <f t="shared" si="103"/>
        <v>120,833333333333</v>
      </c>
      <c r="Q196" s="160" t="str">
        <f t="shared" si="104"/>
        <v>1+3,37584423798101i</v>
      </c>
      <c r="R196" s="160">
        <f t="shared" si="112"/>
        <v>3.5208414220338842</v>
      </c>
      <c r="S196" s="160">
        <f t="shared" si="113"/>
        <v>1.2828089993013094</v>
      </c>
      <c r="T196" s="160" t="str">
        <f t="shared" si="105"/>
        <v>1+0,000227159612275357i</v>
      </c>
      <c r="U196" s="160">
        <f t="shared" si="114"/>
        <v>1.0000000258007444</v>
      </c>
      <c r="V196" s="160">
        <f t="shared" si="115"/>
        <v>2.2715960836809903E-4</v>
      </c>
      <c r="W196" s="98" t="str">
        <f t="shared" si="106"/>
        <v>1-0,00194448628107706i</v>
      </c>
      <c r="X196" s="160">
        <f t="shared" si="116"/>
        <v>1.0000018905116617</v>
      </c>
      <c r="Y196" s="160">
        <f t="shared" si="117"/>
        <v>-1.9444838303643095E-3</v>
      </c>
      <c r="Z196" s="98" t="str">
        <f t="shared" si="107"/>
        <v>0,999999699935492+0,000753171465520396i</v>
      </c>
      <c r="AA196" s="160">
        <f t="shared" si="118"/>
        <v>0.99999998356916509</v>
      </c>
      <c r="AB196" s="160">
        <f t="shared" si="119"/>
        <v>7.5317154910390564E-4</v>
      </c>
      <c r="AC196" s="171" t="str">
        <f t="shared" si="120"/>
        <v>9,66620774387012-32,9301302275777i</v>
      </c>
      <c r="AD196" s="190">
        <f t="shared" si="121"/>
        <v>30.710822611777129</v>
      </c>
      <c r="AE196" s="169">
        <f t="shared" si="122"/>
        <v>-73.641090562354535</v>
      </c>
      <c r="AF196" s="98" t="str">
        <f t="shared" si="108"/>
        <v>-0,0000375877424711299</v>
      </c>
      <c r="AG196" s="98" t="str">
        <f t="shared" si="109"/>
        <v>3,83521145391562E-06i</v>
      </c>
      <c r="AH196" s="98">
        <f t="shared" si="123"/>
        <v>3.8352114539156198E-6</v>
      </c>
      <c r="AI196" s="98">
        <f t="shared" si="124"/>
        <v>1.5707963267948966</v>
      </c>
      <c r="AJ196" s="98" t="str">
        <f t="shared" si="110"/>
        <v>1+0,00349821318015357i</v>
      </c>
      <c r="AK196" s="98">
        <f t="shared" si="125"/>
        <v>1.0000061187290075</v>
      </c>
      <c r="AL196" s="98">
        <f t="shared" si="126"/>
        <v>3.4981989104690488E-3</v>
      </c>
      <c r="AM196" s="98" t="str">
        <f t="shared" si="111"/>
        <v>1+0,272591534730428i</v>
      </c>
      <c r="AN196" s="98">
        <f t="shared" si="127"/>
        <v>1.0364874069696604</v>
      </c>
      <c r="AO196" s="98">
        <f t="shared" si="128"/>
        <v>0.2661257040472696</v>
      </c>
      <c r="AP196" s="168" t="str">
        <f t="shared" si="129"/>
        <v>-2,63726963081036+9,80992197011337i</v>
      </c>
      <c r="AQ196" s="98">
        <f t="shared" si="130"/>
        <v>20.136366030630427</v>
      </c>
      <c r="AR196" s="169">
        <f t="shared" si="131"/>
        <v>105.04744762838904</v>
      </c>
      <c r="AS196" s="168" t="str">
        <f t="shared" si="132"/>
        <v>297,549611870196+181,670376102092i</v>
      </c>
      <c r="AT196" s="190">
        <f t="shared" si="133"/>
        <v>50.847188642407545</v>
      </c>
      <c r="AU196" s="169">
        <f t="shared" si="134"/>
        <v>31.406357066034474</v>
      </c>
      <c r="AV196" s="225"/>
      <c r="AX196">
        <f t="shared" si="135"/>
        <v>0</v>
      </c>
      <c r="AY196">
        <f t="shared" si="136"/>
        <v>0</v>
      </c>
    </row>
    <row r="197" spans="14:51" x14ac:dyDescent="0.25">
      <c r="N197" s="170">
        <v>79</v>
      </c>
      <c r="O197" s="199">
        <f t="shared" si="137"/>
        <v>616.59500186148273</v>
      </c>
      <c r="P197" s="189" t="str">
        <f t="shared" si="103"/>
        <v>120,833333333333</v>
      </c>
      <c r="Q197" s="160" t="str">
        <f t="shared" si="104"/>
        <v>1+3,45447775175734i</v>
      </c>
      <c r="R197" s="160">
        <f t="shared" si="112"/>
        <v>3.5963059571435863</v>
      </c>
      <c r="S197" s="160">
        <f t="shared" si="113"/>
        <v>1.2890192248982215</v>
      </c>
      <c r="T197" s="160" t="str">
        <f t="shared" si="105"/>
        <v>1+0,000232450839370586i</v>
      </c>
      <c r="U197" s="160">
        <f t="shared" si="114"/>
        <v>1.000000027016696</v>
      </c>
      <c r="V197" s="160">
        <f t="shared" si="115"/>
        <v>2.3245083518388363E-4</v>
      </c>
      <c r="W197" s="98" t="str">
        <f t="shared" si="106"/>
        <v>1-0,00198977918501222i</v>
      </c>
      <c r="X197" s="160">
        <f t="shared" si="116"/>
        <v>1.0000019796086432</v>
      </c>
      <c r="Y197" s="160">
        <f t="shared" si="117"/>
        <v>-1.9897765590264774E-3</v>
      </c>
      <c r="Z197" s="98" t="str">
        <f t="shared" si="107"/>
        <v>0,999999685793887+0,000770715082652847i</v>
      </c>
      <c r="AA197" s="160">
        <f t="shared" si="118"/>
        <v>0.9999999827948054</v>
      </c>
      <c r="AB197" s="160">
        <f t="shared" si="119"/>
        <v>7.7071517221419098E-4</v>
      </c>
      <c r="AC197" s="171" t="str">
        <f t="shared" si="120"/>
        <v>9,26112180212846-32,2978111228857i</v>
      </c>
      <c r="AD197" s="190">
        <f t="shared" si="121"/>
        <v>30.526620054362752</v>
      </c>
      <c r="AE197" s="169">
        <f t="shared" si="122"/>
        <v>-74.000207371673312</v>
      </c>
      <c r="AF197" s="98" t="str">
        <f t="shared" si="108"/>
        <v>-0,0000375877424711299</v>
      </c>
      <c r="AG197" s="98" t="str">
        <f t="shared" si="109"/>
        <v>3,92454500470673E-06i</v>
      </c>
      <c r="AH197" s="98">
        <f t="shared" si="123"/>
        <v>3.92454500470673E-6</v>
      </c>
      <c r="AI197" s="98">
        <f t="shared" si="124"/>
        <v>1.5707963267948966</v>
      </c>
      <c r="AJ197" s="98" t="str">
        <f t="shared" si="110"/>
        <v>1+0,00357969703275532i</v>
      </c>
      <c r="AK197" s="98">
        <f t="shared" si="125"/>
        <v>1.0000064070948977</v>
      </c>
      <c r="AL197" s="98">
        <f t="shared" si="126"/>
        <v>3.5796817425181667E-3</v>
      </c>
      <c r="AM197" s="98" t="str">
        <f t="shared" si="111"/>
        <v>1+0,278941007244703i</v>
      </c>
      <c r="AN197" s="98">
        <f t="shared" si="127"/>
        <v>1.0381753635695126</v>
      </c>
      <c r="AO197" s="98">
        <f t="shared" si="128"/>
        <v>0.27202642964788376</v>
      </c>
      <c r="AP197" s="168" t="str">
        <f t="shared" si="129"/>
        <v>-2,63726810982312+9,58704577659713i</v>
      </c>
      <c r="AQ197" s="98">
        <f t="shared" si="130"/>
        <v>19.950497300522496</v>
      </c>
      <c r="AR197" s="169">
        <f t="shared" si="131"/>
        <v>105.38086567898982</v>
      </c>
      <c r="AS197" s="168" t="str">
        <f t="shared" si="132"/>
        <v>285,216532529052+173,964785951124i</v>
      </c>
      <c r="AT197" s="190">
        <f t="shared" si="133"/>
        <v>50.477117354885252</v>
      </c>
      <c r="AU197" s="169">
        <f t="shared" si="134"/>
        <v>31.380658307316498</v>
      </c>
      <c r="AV197" s="225"/>
      <c r="AX197">
        <f t="shared" si="135"/>
        <v>0</v>
      </c>
      <c r="AY197">
        <f t="shared" si="136"/>
        <v>0</v>
      </c>
    </row>
    <row r="198" spans="14:51" x14ac:dyDescent="0.25">
      <c r="N198" s="170">
        <v>80</v>
      </c>
      <c r="O198" s="199">
        <f t="shared" si="137"/>
        <v>630.95734448019323</v>
      </c>
      <c r="P198" s="189" t="str">
        <f t="shared" si="103"/>
        <v>120,833333333333</v>
      </c>
      <c r="Q198" s="160" t="str">
        <f t="shared" si="104"/>
        <v>1+3,53494287536305i</v>
      </c>
      <c r="R198" s="160">
        <f t="shared" si="112"/>
        <v>3.6736658982656527</v>
      </c>
      <c r="S198" s="160">
        <f t="shared" si="113"/>
        <v>1.2951097407588812</v>
      </c>
      <c r="T198" s="160" t="str">
        <f t="shared" si="105"/>
        <v>1+0,0002378653149777i</v>
      </c>
      <c r="U198" s="160">
        <f t="shared" si="114"/>
        <v>1.0000000282899537</v>
      </c>
      <c r="V198" s="160">
        <f t="shared" si="115"/>
        <v>2.3786531049156762E-4</v>
      </c>
      <c r="W198" s="98" t="str">
        <f t="shared" si="106"/>
        <v>1-0,00203612709620911i</v>
      </c>
      <c r="X198" s="160">
        <f t="shared" si="116"/>
        <v>1.0000020729046275</v>
      </c>
      <c r="Y198" s="160">
        <f t="shared" si="117"/>
        <v>-2.0361242824150066E-3</v>
      </c>
      <c r="Z198" s="98" t="str">
        <f t="shared" si="107"/>
        <v>0,999999670985809+0,00078866734312374i</v>
      </c>
      <c r="AA198" s="160">
        <f t="shared" si="118"/>
        <v>0.99999998198395201</v>
      </c>
      <c r="AB198" s="160">
        <f t="shared" si="119"/>
        <v>7.8866743909044841E-4</v>
      </c>
      <c r="AC198" s="171" t="str">
        <f t="shared" si="120"/>
        <v>8,87150220961951-31,6728407847814i</v>
      </c>
      <c r="AD198" s="190">
        <f t="shared" si="121"/>
        <v>30.341760394324389</v>
      </c>
      <c r="AE198" s="169">
        <f t="shared" si="122"/>
        <v>-74.352542117028065</v>
      </c>
      <c r="AF198" s="98" t="str">
        <f t="shared" si="108"/>
        <v>-0,0000375877424711299</v>
      </c>
      <c r="AG198" s="98" t="str">
        <f t="shared" si="109"/>
        <v>4,01595940120683E-06i</v>
      </c>
      <c r="AH198" s="98">
        <f t="shared" si="123"/>
        <v>4.01595940120683E-6</v>
      </c>
      <c r="AI198" s="98">
        <f t="shared" si="124"/>
        <v>1.5707963267948966</v>
      </c>
      <c r="AJ198" s="98" t="str">
        <f t="shared" si="110"/>
        <v>1+0,00366307888810672i</v>
      </c>
      <c r="AK198" s="98">
        <f t="shared" si="125"/>
        <v>1.0000067090509646</v>
      </c>
      <c r="AL198" s="98">
        <f t="shared" si="126"/>
        <v>3.663062504328365E-3</v>
      </c>
      <c r="AM198" s="98" t="str">
        <f t="shared" si="111"/>
        <v>1+0,28543837797324i</v>
      </c>
      <c r="AN198" s="98">
        <f t="shared" si="127"/>
        <v>1.0399399346212232</v>
      </c>
      <c r="AO198" s="98">
        <f t="shared" si="128"/>
        <v>0.27804455590309518</v>
      </c>
      <c r="AP198" s="168" t="str">
        <f t="shared" si="129"/>
        <v>-2,63726651715584+9,36925276113786i</v>
      </c>
      <c r="AQ198" s="98">
        <f t="shared" si="130"/>
        <v>19.765245421507611</v>
      </c>
      <c r="AR198" s="169">
        <f t="shared" si="131"/>
        <v>105.72090154824598</v>
      </c>
      <c r="AS198" s="168" t="str">
        <f t="shared" si="132"/>
        <v>273,354335241589+166,64906907783i</v>
      </c>
      <c r="AT198" s="190">
        <f t="shared" si="133"/>
        <v>50.107005815831997</v>
      </c>
      <c r="AU198" s="169">
        <f t="shared" si="134"/>
        <v>31.368359431217939</v>
      </c>
      <c r="AV198" s="225"/>
      <c r="AX198">
        <f t="shared" si="135"/>
        <v>0</v>
      </c>
      <c r="AY198">
        <f t="shared" si="136"/>
        <v>0</v>
      </c>
    </row>
    <row r="199" spans="14:51" x14ac:dyDescent="0.25">
      <c r="N199" s="170">
        <v>81</v>
      </c>
      <c r="O199" s="199">
        <f t="shared" si="137"/>
        <v>645.65422903465594</v>
      </c>
      <c r="P199" s="189" t="str">
        <f t="shared" si="103"/>
        <v>120,833333333333</v>
      </c>
      <c r="Q199" s="160" t="str">
        <f t="shared" si="104"/>
        <v>1+3,61728227247179i</v>
      </c>
      <c r="R199" s="160">
        <f t="shared" si="112"/>
        <v>3.7529629679412873</v>
      </c>
      <c r="S199" s="160">
        <f t="shared" si="113"/>
        <v>1.3010819680610868</v>
      </c>
      <c r="T199" s="160" t="str">
        <f t="shared" si="105"/>
        <v>1+0,000243405909923334i</v>
      </c>
      <c r="U199" s="160">
        <f t="shared" si="114"/>
        <v>1.0000000296232181</v>
      </c>
      <c r="V199" s="160">
        <f t="shared" si="115"/>
        <v>2.4340590511635654E-4</v>
      </c>
      <c r="W199" s="98" t="str">
        <f t="shared" si="106"/>
        <v>1-0,00208355458894374i</v>
      </c>
      <c r="X199" s="160">
        <f t="shared" si="116"/>
        <v>1.0000021705975068</v>
      </c>
      <c r="Y199" s="160">
        <f t="shared" si="117"/>
        <v>-2.0835515739093904E-3</v>
      </c>
      <c r="Z199" s="98" t="str">
        <f t="shared" si="107"/>
        <v>0,999999655479848+0,000807037765459204i</v>
      </c>
      <c r="AA199" s="160">
        <f t="shared" si="118"/>
        <v>0.99999998113488464</v>
      </c>
      <c r="AB199" s="160">
        <f t="shared" si="119"/>
        <v>8.0703786828938389E-4</v>
      </c>
      <c r="AC199" s="171" t="str">
        <f t="shared" si="120"/>
        <v>8,49686967165946-31,0554443817582i</v>
      </c>
      <c r="AD199" s="190">
        <f t="shared" si="121"/>
        <v>30.156268817090627</v>
      </c>
      <c r="AE199" s="169">
        <f t="shared" si="122"/>
        <v>-74.698178014746588</v>
      </c>
      <c r="AF199" s="98" t="str">
        <f t="shared" si="108"/>
        <v>-0,0000375877424711299</v>
      </c>
      <c r="AG199" s="98" t="str">
        <f t="shared" si="109"/>
        <v>4,10950311253897E-06i</v>
      </c>
      <c r="AH199" s="98">
        <f t="shared" si="123"/>
        <v>4.1095031125389701E-6</v>
      </c>
      <c r="AI199" s="98">
        <f t="shared" si="124"/>
        <v>1.5707963267948966</v>
      </c>
      <c r="AJ199" s="98" t="str">
        <f t="shared" si="110"/>
        <v>1+0,00374840295637118i</v>
      </c>
      <c r="AK199" s="98">
        <f t="shared" si="125"/>
        <v>1.0000070252376847</v>
      </c>
      <c r="AL199" s="98">
        <f t="shared" si="126"/>
        <v>3.748385400843041E-3</v>
      </c>
      <c r="AM199" s="98" t="str">
        <f t="shared" si="111"/>
        <v>1+0,292087091908001i</v>
      </c>
      <c r="AN199" s="98">
        <f t="shared" si="127"/>
        <v>1.041784463917212</v>
      </c>
      <c r="AO199" s="98">
        <f t="shared" si="128"/>
        <v>0.28418152930889251</v>
      </c>
      <c r="AP199" s="168" t="str">
        <f t="shared" si="129"/>
        <v>-2,63726484943051+9,15642744695921i</v>
      </c>
      <c r="AQ199" s="98">
        <f t="shared" si="130"/>
        <v>19.58063508935934</v>
      </c>
      <c r="AR199" s="169">
        <f t="shared" si="131"/>
        <v>106.06763558151606</v>
      </c>
      <c r="AS199" s="168" t="str">
        <f t="shared" si="132"/>
        <v>261,948427599386+159,702402526273i</v>
      </c>
      <c r="AT199" s="190">
        <f t="shared" si="133"/>
        <v>49.73690390644996</v>
      </c>
      <c r="AU199" s="169">
        <f t="shared" si="134"/>
        <v>31.369457566769494</v>
      </c>
      <c r="AV199" s="225"/>
      <c r="AX199">
        <f t="shared" si="135"/>
        <v>0</v>
      </c>
      <c r="AY199">
        <f t="shared" si="136"/>
        <v>0</v>
      </c>
    </row>
    <row r="200" spans="14:51" x14ac:dyDescent="0.25">
      <c r="N200" s="170">
        <v>82</v>
      </c>
      <c r="O200" s="199">
        <f t="shared" si="137"/>
        <v>660.69344800759643</v>
      </c>
      <c r="P200" s="189" t="str">
        <f t="shared" si="103"/>
        <v>120,833333333333</v>
      </c>
      <c r="Q200" s="160" t="str">
        <f t="shared" si="104"/>
        <v>1+3,70153960052179i</v>
      </c>
      <c r="R200" s="160">
        <f t="shared" si="112"/>
        <v>3.8342398743728872</v>
      </c>
      <c r="S200" s="160">
        <f t="shared" si="113"/>
        <v>1.3069373685686312</v>
      </c>
      <c r="T200" s="160" t="str">
        <f t="shared" si="105"/>
        <v>1+0,000249075561904268i</v>
      </c>
      <c r="U200" s="160">
        <f t="shared" si="114"/>
        <v>1.0000000310193173</v>
      </c>
      <c r="V200" s="160">
        <f t="shared" si="115"/>
        <v>2.4907555675349885E-4</v>
      </c>
      <c r="W200" s="98" t="str">
        <f t="shared" si="106"/>
        <v>1-0,00213208680990054i</v>
      </c>
      <c r="X200" s="160">
        <f t="shared" si="116"/>
        <v>1.0000022728944995</v>
      </c>
      <c r="Y200" s="160">
        <f t="shared" si="117"/>
        <v>-2.132083579233425E-3</v>
      </c>
      <c r="Z200" s="98" t="str">
        <f t="shared" si="107"/>
        <v>0,999999639243114+0,000825836089900322i</v>
      </c>
      <c r="AA200" s="160">
        <f t="shared" si="118"/>
        <v>0.9999999802458025</v>
      </c>
      <c r="AB200" s="160">
        <f t="shared" si="119"/>
        <v>8.258362000848437E-4</v>
      </c>
      <c r="AC200" s="171" t="str">
        <f t="shared" si="120"/>
        <v>8,13675049428307-30,4458232113246i</v>
      </c>
      <c r="AD200" s="190">
        <f t="shared" si="121"/>
        <v>29.970169719952633</v>
      </c>
      <c r="AE200" s="169">
        <f t="shared" si="122"/>
        <v>-75.037200648227653</v>
      </c>
      <c r="AF200" s="98" t="str">
        <f t="shared" si="108"/>
        <v>-0,0000375877424711299</v>
      </c>
      <c r="AG200" s="98" t="str">
        <f t="shared" si="109"/>
        <v>4,20522573681708E-06i</v>
      </c>
      <c r="AH200" s="98">
        <f t="shared" si="123"/>
        <v>4.2052257368170803E-6</v>
      </c>
      <c r="AI200" s="98">
        <f t="shared" si="124"/>
        <v>1.5707963267948966</v>
      </c>
      <c r="AJ200" s="98" t="str">
        <f t="shared" si="110"/>
        <v>1+0,0038357144774991i</v>
      </c>
      <c r="AK200" s="98">
        <f t="shared" si="125"/>
        <v>1.0000073563257188</v>
      </c>
      <c r="AL200" s="98">
        <f t="shared" si="126"/>
        <v>3.8356956664192597E-3</v>
      </c>
      <c r="AM200" s="98" t="str">
        <f t="shared" si="111"/>
        <v>1+0,298890674285123i</v>
      </c>
      <c r="AN200" s="98">
        <f t="shared" si="127"/>
        <v>1.0437124293475744</v>
      </c>
      <c r="AO200" s="98">
        <f t="shared" si="128"/>
        <v>0.29043875398870422</v>
      </c>
      <c r="AP200" s="168" t="str">
        <f t="shared" si="129"/>
        <v>-2,63726310310999+8,9484569912232i</v>
      </c>
      <c r="AQ200" s="98">
        <f t="shared" si="130"/>
        <v>19.396691791309358</v>
      </c>
      <c r="AR200" s="169">
        <f t="shared" si="131"/>
        <v>106.42114563740871</v>
      </c>
      <c r="AS200" s="168" t="str">
        <f t="shared" si="132"/>
        <v>250,984387711138+153,105008045442i</v>
      </c>
      <c r="AT200" s="190">
        <f t="shared" si="133"/>
        <v>49.366861511261973</v>
      </c>
      <c r="AU200" s="169">
        <f t="shared" si="134"/>
        <v>31.383944989181071</v>
      </c>
      <c r="AV200" s="225"/>
      <c r="AX200">
        <f t="shared" si="135"/>
        <v>0</v>
      </c>
      <c r="AY200">
        <f t="shared" si="136"/>
        <v>0</v>
      </c>
    </row>
    <row r="201" spans="14:51" x14ac:dyDescent="0.25">
      <c r="N201" s="170">
        <v>83</v>
      </c>
      <c r="O201" s="199">
        <f t="shared" si="137"/>
        <v>676.08297539198213</v>
      </c>
      <c r="P201" s="189" t="str">
        <f t="shared" si="103"/>
        <v>120,833333333333</v>
      </c>
      <c r="Q201" s="160" t="str">
        <f t="shared" si="104"/>
        <v>1+3,78775953386365i</v>
      </c>
      <c r="R201" s="160">
        <f t="shared" si="112"/>
        <v>3.9175403362792549</v>
      </c>
      <c r="S201" s="160">
        <f t="shared" si="113"/>
        <v>1.3126774401924677</v>
      </c>
      <c r="T201" s="160" t="str">
        <f t="shared" si="105"/>
        <v>1+0,000254877277045029i</v>
      </c>
      <c r="U201" s="160">
        <f t="shared" si="114"/>
        <v>1.0000000324812126</v>
      </c>
      <c r="V201" s="160">
        <f t="shared" si="115"/>
        <v>2.5487727152588043E-4</v>
      </c>
      <c r="W201" s="98" t="str">
        <f t="shared" si="106"/>
        <v>1-0,00218174949150545i</v>
      </c>
      <c r="X201" s="160">
        <f t="shared" si="116"/>
        <v>1.0000023800125897</v>
      </c>
      <c r="Y201" s="160">
        <f t="shared" si="117"/>
        <v>-2.1817460297837124E-3</v>
      </c>
      <c r="Z201" s="98" t="str">
        <f t="shared" si="107"/>
        <v>0,999999622241166+0,000845072283567539i</v>
      </c>
      <c r="AA201" s="160">
        <f t="shared" si="118"/>
        <v>0.99999997931481943</v>
      </c>
      <c r="AB201" s="160">
        <f t="shared" si="119"/>
        <v>8.450724016323799E-4</v>
      </c>
      <c r="AC201" s="171" t="str">
        <f t="shared" si="120"/>
        <v>7,79067738575846-29,84415581936i</v>
      </c>
      <c r="AD201" s="190">
        <f t="shared" si="121"/>
        <v>29.783486722007058</v>
      </c>
      <c r="AE201" s="169">
        <f t="shared" si="122"/>
        <v>-75.369697714585243</v>
      </c>
      <c r="AF201" s="98" t="str">
        <f t="shared" si="108"/>
        <v>-0,0000375877424711299</v>
      </c>
      <c r="AG201" s="98" t="str">
        <f t="shared" si="109"/>
        <v>4,30317802744358E-06i</v>
      </c>
      <c r="AH201" s="98">
        <f t="shared" si="123"/>
        <v>4.3031780274435799E-6</v>
      </c>
      <c r="AI201" s="98">
        <f t="shared" si="124"/>
        <v>1.5707963267948966</v>
      </c>
      <c r="AJ201" s="98" t="str">
        <f t="shared" si="110"/>
        <v>1+0,00392505974521466i</v>
      </c>
      <c r="AK201" s="98">
        <f t="shared" si="125"/>
        <v>1.0000077030173335</v>
      </c>
      <c r="AL201" s="98">
        <f t="shared" si="126"/>
        <v>3.925039588787844E-3</v>
      </c>
      <c r="AM201" s="98" t="str">
        <f t="shared" si="111"/>
        <v>1+0,305852732454035i</v>
      </c>
      <c r="AN201" s="98">
        <f t="shared" si="127"/>
        <v>1.0457274472584142</v>
      </c>
      <c r="AO201" s="98">
        <f t="shared" si="128"/>
        <v>0.2968175869578919</v>
      </c>
      <c r="AP201" s="168" t="str">
        <f t="shared" si="129"/>
        <v>-2,63726127449038+8,74523112519927i</v>
      </c>
      <c r="AQ201" s="98">
        <f t="shared" si="130"/>
        <v>19.213441813979472</v>
      </c>
      <c r="AR201" s="169">
        <f t="shared" si="131"/>
        <v>106.78150681508517</v>
      </c>
      <c r="AS201" s="168" t="str">
        <f t="shared" si="132"/>
        <v>240,447988605255+146,838110772576i</v>
      </c>
      <c r="AT201" s="190">
        <f t="shared" si="133"/>
        <v>48.996928535986527</v>
      </c>
      <c r="AU201" s="169">
        <f t="shared" si="134"/>
        <v>31.411809100500001</v>
      </c>
      <c r="AV201" s="225"/>
      <c r="AX201">
        <f t="shared" si="135"/>
        <v>0</v>
      </c>
      <c r="AY201">
        <f t="shared" si="136"/>
        <v>0</v>
      </c>
    </row>
    <row r="202" spans="14:51" x14ac:dyDescent="0.25">
      <c r="N202" s="170">
        <v>84</v>
      </c>
      <c r="O202" s="199">
        <f t="shared" si="137"/>
        <v>691.83097091893671</v>
      </c>
      <c r="P202" s="189" t="str">
        <f t="shared" si="103"/>
        <v>120,833333333333</v>
      </c>
      <c r="Q202" s="160" t="str">
        <f t="shared" si="104"/>
        <v>1+3,87598778744728i</v>
      </c>
      <c r="R202" s="160">
        <f t="shared" si="112"/>
        <v>4.0029091081912487</v>
      </c>
      <c r="S202" s="160">
        <f t="shared" si="113"/>
        <v>1.3183037127643378</v>
      </c>
      <c r="T202" s="160" t="str">
        <f t="shared" si="105"/>
        <v>1+0,000260814131491778i</v>
      </c>
      <c r="U202" s="160">
        <f t="shared" si="114"/>
        <v>1.000000034012005</v>
      </c>
      <c r="V202" s="160">
        <f t="shared" si="115"/>
        <v>2.6081412557790382E-4</v>
      </c>
      <c r="W202" s="98" t="str">
        <f t="shared" si="106"/>
        <v>1-0,00223256896556963i</v>
      </c>
      <c r="X202" s="160">
        <f t="shared" si="116"/>
        <v>1.0000024921789876</v>
      </c>
      <c r="Y202" s="160">
        <f t="shared" si="117"/>
        <v>-2.2325652562684584E-3</v>
      </c>
      <c r="Z202" s="98" t="str">
        <f t="shared" si="107"/>
        <v>0,99999960443794+0,000864756545745356i</v>
      </c>
      <c r="AA202" s="160">
        <f t="shared" si="118"/>
        <v>0.99999997833995979</v>
      </c>
      <c r="AB202" s="160">
        <f t="shared" si="119"/>
        <v>8.6475667225411181E-4</v>
      </c>
      <c r="AC202" s="171" t="str">
        <f t="shared" si="120"/>
        <v>7,45819016730488-29,2505991114425i</v>
      </c>
      <c r="AD202" s="190">
        <f t="shared" si="121"/>
        <v>29.596242675348936</v>
      </c>
      <c r="AE202" s="169">
        <f t="shared" si="122"/>
        <v>-75.695758783487946</v>
      </c>
      <c r="AF202" s="98" t="str">
        <f t="shared" si="108"/>
        <v>-0,0000375877424711299</v>
      </c>
      <c r="AG202" s="98" t="str">
        <f t="shared" si="109"/>
        <v>4,40341192001954E-06i</v>
      </c>
      <c r="AH202" s="98">
        <f t="shared" si="123"/>
        <v>4.4034119200195403E-6</v>
      </c>
      <c r="AI202" s="98">
        <f t="shared" si="124"/>
        <v>1.5707963267948966</v>
      </c>
      <c r="AJ202" s="98" t="str">
        <f t="shared" si="110"/>
        <v>1+0,00401648613156144i</v>
      </c>
      <c r="AK202" s="98">
        <f t="shared" si="125"/>
        <v>1.0000080660478918</v>
      </c>
      <c r="AL202" s="98">
        <f t="shared" si="126"/>
        <v>4.016464533570391E-3</v>
      </c>
      <c r="AM202" s="98" t="str">
        <f t="shared" si="111"/>
        <v>1+0,312976957790135i</v>
      </c>
      <c r="AN202" s="98">
        <f t="shared" si="127"/>
        <v>1.0478332768659182</v>
      </c>
      <c r="AO202" s="98">
        <f t="shared" si="128"/>
        <v>0.30331933317526422</v>
      </c>
      <c r="AP202" s="168" t="str">
        <f t="shared" si="129"/>
        <v>-2,63725935969331+8,54664209579799i</v>
      </c>
      <c r="AQ202" s="98">
        <f t="shared" si="130"/>
        <v>19.030912249680767</v>
      </c>
      <c r="AR202" s="169">
        <f t="shared" si="131"/>
        <v>107.14879116932755</v>
      </c>
      <c r="AS202" s="168" t="str">
        <f t="shared" si="132"/>
        <v>230,325219868068+140,883898325643i</v>
      </c>
      <c r="AT202" s="190">
        <f t="shared" si="133"/>
        <v>48.6271549250297</v>
      </c>
      <c r="AU202" s="169">
        <f t="shared" si="134"/>
        <v>31.453032385839627</v>
      </c>
      <c r="AV202" s="225"/>
      <c r="AX202">
        <f t="shared" si="135"/>
        <v>0</v>
      </c>
      <c r="AY202">
        <f t="shared" si="136"/>
        <v>0</v>
      </c>
    </row>
    <row r="203" spans="14:51" x14ac:dyDescent="0.25">
      <c r="N203" s="170">
        <v>85</v>
      </c>
      <c r="O203" s="199">
        <f t="shared" si="137"/>
        <v>707.94578438413873</v>
      </c>
      <c r="P203" s="189" t="str">
        <f t="shared" si="103"/>
        <v>120,833333333333</v>
      </c>
      <c r="Q203" s="160" t="str">
        <f t="shared" si="104"/>
        <v>1+3,9662711410606i</v>
      </c>
      <c r="R203" s="160">
        <f t="shared" si="112"/>
        <v>4.0903920062030918</v>
      </c>
      <c r="S203" s="160">
        <f t="shared" si="113"/>
        <v>1.3238177440208638</v>
      </c>
      <c r="T203" s="160" t="str">
        <f t="shared" si="105"/>
        <v>1+0,000266889273043328i</v>
      </c>
      <c r="U203" s="160">
        <f t="shared" si="114"/>
        <v>1.0000000356149414</v>
      </c>
      <c r="V203" s="160">
        <f t="shared" si="115"/>
        <v>2.6688926670649762E-4</v>
      </c>
      <c r="W203" s="98" t="str">
        <f t="shared" si="106"/>
        <v>1-0,00228457217725089i</v>
      </c>
      <c r="X203" s="160">
        <f t="shared" si="116"/>
        <v>1.0000026096316115</v>
      </c>
      <c r="Y203" s="160">
        <f t="shared" si="117"/>
        <v>-2.2845682026636357E-3</v>
      </c>
      <c r="Z203" s="98" t="str">
        <f t="shared" si="107"/>
        <v>0,999999585795675+0,000884899313290136i</v>
      </c>
      <c r="AA203" s="160">
        <f t="shared" si="118"/>
        <v>0.99999997731915791</v>
      </c>
      <c r="AB203" s="160">
        <f t="shared" si="119"/>
        <v>8.8489944884670836E-4</v>
      </c>
      <c r="AC203" s="171" t="str">
        <f t="shared" si="120"/>
        <v>7,13883639810028-28,665289451273i</v>
      </c>
      <c r="AD203" s="190">
        <f t="shared" si="121"/>
        <v>29.408459677368874</v>
      </c>
      <c r="AE203" s="169">
        <f t="shared" si="122"/>
        <v>-76.015475068080619</v>
      </c>
      <c r="AF203" s="98" t="str">
        <f t="shared" si="108"/>
        <v>-0,0000375877424711299</v>
      </c>
      <c r="AG203" s="98" t="str">
        <f t="shared" si="109"/>
        <v>4,50598055988154E-06i</v>
      </c>
      <c r="AH203" s="98">
        <f t="shared" si="123"/>
        <v>4.5059805598815403E-6</v>
      </c>
      <c r="AI203" s="98">
        <f t="shared" si="124"/>
        <v>1.5707963267948966</v>
      </c>
      <c r="AJ203" s="98" t="str">
        <f t="shared" si="110"/>
        <v>1+0,00411004211201967i</v>
      </c>
      <c r="AK203" s="98">
        <f t="shared" si="125"/>
        <v>1.0000084461874121</v>
      </c>
      <c r="AL203" s="98">
        <f t="shared" si="126"/>
        <v>4.1100189693658636E-3</v>
      </c>
      <c r="AM203" s="98" t="str">
        <f t="shared" si="111"/>
        <v>1+0,320267127651995i</v>
      </c>
      <c r="AN203" s="98">
        <f t="shared" si="127"/>
        <v>1.0500338247192131</v>
      </c>
      <c r="AO203" s="98">
        <f t="shared" si="128"/>
        <v>0.30994524038345173</v>
      </c>
      <c r="AP203" s="168" t="str">
        <f t="shared" si="129"/>
        <v>-2,63725735465761+8,35258460843903i</v>
      </c>
      <c r="AQ203" s="98">
        <f t="shared" si="130"/>
        <v>18.849131000906894</v>
      </c>
      <c r="AR203" s="169">
        <f t="shared" si="131"/>
        <v>107.52306741347616</v>
      </c>
      <c r="AS203" s="168" t="str">
        <f t="shared" si="132"/>
        <v>220,602306672565+135,225480449696i</v>
      </c>
      <c r="AT203" s="190">
        <f t="shared" si="133"/>
        <v>48.257590678275768</v>
      </c>
      <c r="AU203" s="169">
        <f t="shared" si="134"/>
        <v>31.507592345395636</v>
      </c>
      <c r="AV203" s="225"/>
      <c r="AX203">
        <f t="shared" si="135"/>
        <v>0</v>
      </c>
      <c r="AY203">
        <f t="shared" si="136"/>
        <v>0</v>
      </c>
    </row>
    <row r="204" spans="14:51" x14ac:dyDescent="0.25">
      <c r="N204" s="170">
        <v>86</v>
      </c>
      <c r="O204" s="199">
        <f t="shared" si="137"/>
        <v>724.43596007499025</v>
      </c>
      <c r="P204" s="189" t="str">
        <f t="shared" si="103"/>
        <v>120,833333333333</v>
      </c>
      <c r="Q204" s="160" t="str">
        <f t="shared" si="104"/>
        <v>1+4,0586574641327i</v>
      </c>
      <c r="R204" s="160">
        <f t="shared" si="112"/>
        <v>4.1800359341948337</v>
      </c>
      <c r="S204" s="160">
        <f t="shared" si="113"/>
        <v>1.3292211157952227</v>
      </c>
      <c r="T204" s="160" t="str">
        <f t="shared" si="105"/>
        <v>1+0,000273105922820143i</v>
      </c>
      <c r="U204" s="160">
        <f t="shared" si="114"/>
        <v>1.0000000372934219</v>
      </c>
      <c r="V204" s="160">
        <f t="shared" si="115"/>
        <v>2.7310591603010691E-4</v>
      </c>
      <c r="W204" s="98" t="str">
        <f t="shared" si="106"/>
        <v>1-0,00233778669934042i</v>
      </c>
      <c r="X204" s="160">
        <f t="shared" si="116"/>
        <v>1.0000027326195922</v>
      </c>
      <c r="Y204" s="160">
        <f t="shared" si="117"/>
        <v>-2.3377824404940749E-3</v>
      </c>
      <c r="Z204" s="98" t="str">
        <f t="shared" si="107"/>
        <v>0,999999566274826+0,000905511266163847i</v>
      </c>
      <c r="AA204" s="160">
        <f t="shared" si="118"/>
        <v>0.99999997625024628</v>
      </c>
      <c r="AB204" s="160">
        <f t="shared" si="119"/>
        <v>9.0551141141533053E-4</v>
      </c>
      <c r="AC204" s="171" t="str">
        <f t="shared" si="120"/>
        <v>6,83217191968778-28,0883437419351i</v>
      </c>
      <c r="AD204" s="190">
        <f t="shared" si="121"/>
        <v>29.220159084017013</v>
      </c>
      <c r="AE204" s="169">
        <f t="shared" si="122"/>
        <v>-76.328939207822884</v>
      </c>
      <c r="AF204" s="98" t="str">
        <f t="shared" si="108"/>
        <v>-0,0000375877424711299</v>
      </c>
      <c r="AG204" s="98" t="str">
        <f t="shared" si="109"/>
        <v>4,61093833028008E-06i</v>
      </c>
      <c r="AH204" s="98">
        <f t="shared" si="123"/>
        <v>4.61093833028008E-6</v>
      </c>
      <c r="AI204" s="98">
        <f t="shared" si="124"/>
        <v>1.5707963267948966</v>
      </c>
      <c r="AJ204" s="98" t="str">
        <f t="shared" si="110"/>
        <v>1+0,00420577729120851i</v>
      </c>
      <c r="AK204" s="98">
        <f t="shared" si="125"/>
        <v>1.0000088442422013</v>
      </c>
      <c r="AL204" s="98">
        <f t="shared" si="126"/>
        <v>4.2057524934200272E-3</v>
      </c>
      <c r="AM204" s="98" t="str">
        <f t="shared" si="111"/>
        <v>1+0,327727107384172i</v>
      </c>
      <c r="AN204" s="98">
        <f t="shared" si="127"/>
        <v>1.0523331492043746</v>
      </c>
      <c r="AO204" s="98">
        <f t="shared" si="128"/>
        <v>0.31669649374151082</v>
      </c>
      <c r="AP204" s="168" t="str">
        <f t="shared" si="129"/>
        <v>-2,63725525513076+8,16295577122203i</v>
      </c>
      <c r="AQ204" s="98">
        <f t="shared" si="130"/>
        <v>18.668126782839806</v>
      </c>
      <c r="AR204" s="169">
        <f t="shared" si="131"/>
        <v>107.90440061043032</v>
      </c>
      <c r="AS204" s="168" t="str">
        <f t="shared" si="132"/>
        <v>211,265726353144+129,846849343134i</v>
      </c>
      <c r="AT204" s="190">
        <f t="shared" si="133"/>
        <v>47.888285866856819</v>
      </c>
      <c r="AU204" s="169">
        <f t="shared" si="134"/>
        <v>31.57546140260742</v>
      </c>
      <c r="AV204" s="225"/>
      <c r="AX204">
        <f t="shared" si="135"/>
        <v>0</v>
      </c>
      <c r="AY204">
        <f t="shared" si="136"/>
        <v>0</v>
      </c>
    </row>
    <row r="205" spans="14:51" x14ac:dyDescent="0.25">
      <c r="N205" s="170">
        <v>87</v>
      </c>
      <c r="O205" s="199">
        <f t="shared" si="137"/>
        <v>741.31024130091828</v>
      </c>
      <c r="P205" s="189" t="str">
        <f t="shared" si="103"/>
        <v>120,833333333333</v>
      </c>
      <c r="Q205" s="160" t="str">
        <f t="shared" si="104"/>
        <v>1+4,15319574111496i</v>
      </c>
      <c r="R205" s="160">
        <f t="shared" si="112"/>
        <v>4.2718889105424358</v>
      </c>
      <c r="S205" s="160">
        <f t="shared" si="113"/>
        <v>1.3345154304127951</v>
      </c>
      <c r="T205" s="160" t="str">
        <f t="shared" si="105"/>
        <v>1+0,00027946737697222i</v>
      </c>
      <c r="U205" s="160">
        <f t="shared" si="114"/>
        <v>1.0000000390510067</v>
      </c>
      <c r="V205" s="160">
        <f t="shared" si="115"/>
        <v>2.7946736969656523E-4</v>
      </c>
      <c r="W205" s="98" t="str">
        <f t="shared" si="106"/>
        <v>1-0,00239224074688221i</v>
      </c>
      <c r="X205" s="160">
        <f t="shared" si="116"/>
        <v>1.0000028614038017</v>
      </c>
      <c r="Y205" s="160">
        <f t="shared" si="117"/>
        <v>-2.3922361834468387E-3</v>
      </c>
      <c r="Z205" s="98" t="str">
        <f t="shared" si="107"/>
        <v>0,999999545833989+0,000926603333096737i</v>
      </c>
      <c r="AA205" s="160">
        <f t="shared" si="118"/>
        <v>0.99999997513096028</v>
      </c>
      <c r="AB205" s="160">
        <f t="shared" si="119"/>
        <v>9.2660348873650354E-4</v>
      </c>
      <c r="AC205" s="171" t="str">
        <f t="shared" si="120"/>
        <v>6,53776132486384-27,5198604863059i</v>
      </c>
      <c r="AD205" s="190">
        <f t="shared" si="121"/>
        <v>29.03136152390385</v>
      </c>
      <c r="AE205" s="169">
        <f t="shared" si="122"/>
        <v>-76.636245063039098</v>
      </c>
      <c r="AF205" s="98" t="str">
        <f t="shared" si="108"/>
        <v>-0,0000375877424711299</v>
      </c>
      <c r="AG205" s="98" t="str">
        <f t="shared" si="109"/>
        <v>4,71834088121433E-06i</v>
      </c>
      <c r="AH205" s="98">
        <f t="shared" si="123"/>
        <v>4.7183408812143304E-6</v>
      </c>
      <c r="AI205" s="98">
        <f t="shared" si="124"/>
        <v>1.5707963267948966</v>
      </c>
      <c r="AJ205" s="98" t="str">
        <f t="shared" si="110"/>
        <v>1+0,0043037424291872i</v>
      </c>
      <c r="AK205" s="98">
        <f t="shared" si="125"/>
        <v>1.000009261056565</v>
      </c>
      <c r="AL205" s="98">
        <f t="shared" si="126"/>
        <v>4.3037158578914034E-3</v>
      </c>
      <c r="AM205" s="98" t="str">
        <f t="shared" si="111"/>
        <v>1+0,335360852366665i</v>
      </c>
      <c r="AN205" s="98">
        <f t="shared" si="127"/>
        <v>1.0547354650812193</v>
      </c>
      <c r="AO205" s="98">
        <f t="shared" si="128"/>
        <v>0.32357421025466293</v>
      </c>
      <c r="AP205" s="168" t="str">
        <f t="shared" si="129"/>
        <v>-2,63725305665983+7,97765504037192i</v>
      </c>
      <c r="AQ205" s="98">
        <f t="shared" si="130"/>
        <v>18.487929123681454</v>
      </c>
      <c r="AR205" s="169">
        <f t="shared" si="131"/>
        <v>108.29285185199024</v>
      </c>
      <c r="AS205" s="168" t="str">
        <f t="shared" si="132"/>
        <v>202,302222681201+124,732840772411i</v>
      </c>
      <c r="AT205" s="190">
        <f t="shared" si="133"/>
        <v>47.519290647585315</v>
      </c>
      <c r="AU205" s="169">
        <f t="shared" si="134"/>
        <v>31.656606788951148</v>
      </c>
      <c r="AV205" s="225"/>
      <c r="AX205">
        <f t="shared" si="135"/>
        <v>0</v>
      </c>
      <c r="AY205">
        <f t="shared" si="136"/>
        <v>0</v>
      </c>
    </row>
    <row r="206" spans="14:51" x14ac:dyDescent="0.25">
      <c r="N206" s="170">
        <v>88</v>
      </c>
      <c r="O206" s="199">
        <f t="shared" si="137"/>
        <v>758.57757502918378</v>
      </c>
      <c r="P206" s="189" t="str">
        <f t="shared" si="103"/>
        <v>120,833333333333</v>
      </c>
      <c r="Q206" s="160" t="str">
        <f t="shared" si="104"/>
        <v>1+4,24993609745321i</v>
      </c>
      <c r="R206" s="160">
        <f t="shared" si="112"/>
        <v>4.3660000953316311</v>
      </c>
      <c r="S206" s="160">
        <f t="shared" si="113"/>
        <v>1.3397023072864891</v>
      </c>
      <c r="T206" s="160" t="str">
        <f t="shared" si="105"/>
        <v>1+0,000285977008426757i</v>
      </c>
      <c r="U206" s="160">
        <f t="shared" si="114"/>
        <v>1.0000000408914238</v>
      </c>
      <c r="V206" s="160">
        <f t="shared" si="115"/>
        <v>2.8597700063075248E-4</v>
      </c>
      <c r="W206" s="98" t="str">
        <f t="shared" si="106"/>
        <v>1-0,00244796319213304i</v>
      </c>
      <c r="X206" s="160">
        <f t="shared" si="116"/>
        <v>1.0000029962574062</v>
      </c>
      <c r="Y206" s="160">
        <f t="shared" si="117"/>
        <v>-2.4479583023247326E-3</v>
      </c>
      <c r="Z206" s="98" t="str">
        <f t="shared" si="107"/>
        <v>0,999999524429804+0,00094818669738188i</v>
      </c>
      <c r="AA206" s="160">
        <f t="shared" si="118"/>
        <v>0.99999997395892326</v>
      </c>
      <c r="AB206" s="160">
        <f t="shared" si="119"/>
        <v>9.4818686415289307E-4</v>
      </c>
      <c r="AC206" s="171" t="str">
        <f t="shared" si="120"/>
        <v>6,2551783560699-26,9599208234773i</v>
      </c>
      <c r="AD206" s="190">
        <f t="shared" si="121"/>
        <v>28.842086913118589</v>
      </c>
      <c r="AE206" s="169">
        <f t="shared" si="122"/>
        <v>-76.937487520933317</v>
      </c>
      <c r="AF206" s="98" t="str">
        <f t="shared" si="108"/>
        <v>-0,0000375877424711299</v>
      </c>
      <c r="AG206" s="98" t="str">
        <f t="shared" si="109"/>
        <v>4,82824515893842E-06i</v>
      </c>
      <c r="AH206" s="98">
        <f t="shared" si="123"/>
        <v>4.8282451589384197E-6</v>
      </c>
      <c r="AI206" s="98">
        <f t="shared" si="124"/>
        <v>1.5707963267948966</v>
      </c>
      <c r="AJ206" s="98" t="str">
        <f t="shared" si="110"/>
        <v>1+0,00440398946836861i</v>
      </c>
      <c r="AK206" s="98">
        <f t="shared" si="125"/>
        <v>1.0000096975145978</v>
      </c>
      <c r="AL206" s="98">
        <f t="shared" si="126"/>
        <v>4.4039609967271107E-3</v>
      </c>
      <c r="AM206" s="98" t="str">
        <f t="shared" si="111"/>
        <v>1+0,343172410112109i</v>
      </c>
      <c r="AN206" s="98">
        <f t="shared" si="127"/>
        <v>1.0572451480437985</v>
      </c>
      <c r="AO206" s="98">
        <f t="shared" si="128"/>
        <v>0.33057943300784021</v>
      </c>
      <c r="AP206" s="168" t="str">
        <f t="shared" si="129"/>
        <v>-2,6372507545821+7,79658416692896i</v>
      </c>
      <c r="AQ206" s="98">
        <f t="shared" si="130"/>
        <v>18.308568362617208</v>
      </c>
      <c r="AR206" s="169">
        <f t="shared" si="131"/>
        <v>108.68847792692429</v>
      </c>
      <c r="AS206" s="168" t="str">
        <f t="shared" si="132"/>
        <v>193,698817994391+119,86909606744i</v>
      </c>
      <c r="AT206" s="190">
        <f t="shared" si="133"/>
        <v>47.150655275735801</v>
      </c>
      <c r="AU206" s="169">
        <f t="shared" si="134"/>
        <v>31.750990405990819</v>
      </c>
      <c r="AV206" s="225"/>
      <c r="AX206">
        <f t="shared" si="135"/>
        <v>0</v>
      </c>
      <c r="AY206">
        <f t="shared" si="136"/>
        <v>0</v>
      </c>
    </row>
    <row r="207" spans="14:51" x14ac:dyDescent="0.25">
      <c r="N207" s="170">
        <v>89</v>
      </c>
      <c r="O207" s="199">
        <f t="shared" si="137"/>
        <v>776.24711662869231</v>
      </c>
      <c r="P207" s="189" t="str">
        <f t="shared" si="103"/>
        <v>120,833333333333</v>
      </c>
      <c r="Q207" s="160" t="str">
        <f t="shared" si="104"/>
        <v>1+4,34892982616489i</v>
      </c>
      <c r="R207" s="160">
        <f t="shared" si="112"/>
        <v>4.4624198180927106</v>
      </c>
      <c r="S207" s="160">
        <f t="shared" si="113"/>
        <v>1.3447833797069235</v>
      </c>
      <c r="T207" s="160" t="str">
        <f t="shared" si="105"/>
        <v>1+0,000292638268676515i</v>
      </c>
      <c r="U207" s="160">
        <f t="shared" si="114"/>
        <v>1.0000000428185771</v>
      </c>
      <c r="V207" s="160">
        <f t="shared" si="115"/>
        <v>2.9263826032294572E-4</v>
      </c>
      <c r="W207" s="98" t="str">
        <f t="shared" si="106"/>
        <v>1-0,00250498357987097i</v>
      </c>
      <c r="X207" s="160">
        <f t="shared" si="116"/>
        <v>1.0000031374664458</v>
      </c>
      <c r="Y207" s="160">
        <f t="shared" si="117"/>
        <v>-2.5049783403478577E-3</v>
      </c>
      <c r="Z207" s="98" t="str">
        <f t="shared" si="107"/>
        <v>0,999999502016871+0,000970272802804711i</v>
      </c>
      <c r="AA207" s="160">
        <f t="shared" si="118"/>
        <v>0.99999997273165075</v>
      </c>
      <c r="AB207" s="160">
        <f t="shared" si="119"/>
        <v>9.7027298150306935E-4</v>
      </c>
      <c r="AC207" s="171" t="str">
        <f t="shared" si="120"/>
        <v>5,98400623820845-26,4085895385369i</v>
      </c>
      <c r="AD207" s="190">
        <f t="shared" si="121"/>
        <v>28.652354470651218</v>
      </c>
      <c r="AE207" s="169">
        <f t="shared" si="122"/>
        <v>-77.232762312794335</v>
      </c>
      <c r="AF207" s="98" t="str">
        <f t="shared" si="108"/>
        <v>-0,0000375877424711299</v>
      </c>
      <c r="AG207" s="98" t="str">
        <f t="shared" si="109"/>
        <v>4,94070943615516E-06i</v>
      </c>
      <c r="AH207" s="98">
        <f t="shared" si="123"/>
        <v>4.9407094361551602E-6</v>
      </c>
      <c r="AI207" s="98">
        <f t="shared" si="124"/>
        <v>1.5707963267948966</v>
      </c>
      <c r="AJ207" s="98" t="str">
        <f t="shared" si="110"/>
        <v>1+0,00450657156105985i</v>
      </c>
      <c r="AK207" s="98">
        <f t="shared" si="125"/>
        <v>1.0000101545420601</v>
      </c>
      <c r="AL207" s="98">
        <f t="shared" si="126"/>
        <v>4.5065410531630627E-3</v>
      </c>
      <c r="AM207" s="98" t="str">
        <f t="shared" si="111"/>
        <v>1+0,351165922411818i</v>
      </c>
      <c r="AN207" s="98">
        <f t="shared" si="127"/>
        <v>1.0598667392947771</v>
      </c>
      <c r="AO207" s="98">
        <f t="shared" si="128"/>
        <v>0.33771312521160152</v>
      </c>
      <c r="AP207" s="168" t="str">
        <f t="shared" si="129"/>
        <v>-2,63724834401509+7,61964714465543i</v>
      </c>
      <c r="AQ207" s="98">
        <f t="shared" si="130"/>
        <v>18.130075645212468</v>
      </c>
      <c r="AR207" s="169">
        <f t="shared" si="131"/>
        <v>109.09133097824919</v>
      </c>
      <c r="AS207" s="168" t="str">
        <f t="shared" si="132"/>
        <v>185,442823329399+115,242025074846i</v>
      </c>
      <c r="AT207" s="190">
        <f t="shared" si="133"/>
        <v>46.78243011586369</v>
      </c>
      <c r="AU207" s="169">
        <f t="shared" si="134"/>
        <v>31.858568665454843</v>
      </c>
      <c r="AV207" s="225"/>
      <c r="AX207">
        <f t="shared" si="135"/>
        <v>0</v>
      </c>
      <c r="AY207">
        <f t="shared" si="136"/>
        <v>0</v>
      </c>
    </row>
    <row r="208" spans="14:51" x14ac:dyDescent="0.25">
      <c r="N208" s="170">
        <v>90</v>
      </c>
      <c r="O208" s="199">
        <f t="shared" si="137"/>
        <v>794.32823472428208</v>
      </c>
      <c r="P208" s="189" t="str">
        <f t="shared" si="103"/>
        <v>120,833333333333</v>
      </c>
      <c r="Q208" s="160" t="str">
        <f t="shared" si="104"/>
        <v>1+4,45022941503529i</v>
      </c>
      <c r="R208" s="160">
        <f t="shared" si="112"/>
        <v>4.561199606073532</v>
      </c>
      <c r="S208" s="160">
        <f t="shared" si="113"/>
        <v>1.3497602918221796</v>
      </c>
      <c r="T208" s="160" t="str">
        <f t="shared" si="105"/>
        <v>1+0,00029945468960985i</v>
      </c>
      <c r="U208" s="160">
        <f t="shared" si="114"/>
        <v>1.0000000448365545</v>
      </c>
      <c r="V208" s="160">
        <f t="shared" si="115"/>
        <v>2.9945468065883929E-4</v>
      </c>
      <c r="W208" s="98" t="str">
        <f t="shared" si="106"/>
        <v>1-0,00256333214306032i</v>
      </c>
      <c r="X208" s="160">
        <f t="shared" si="116"/>
        <v>1.000003285330441</v>
      </c>
      <c r="Y208" s="160">
        <f t="shared" si="117"/>
        <v>-2.563326528811151E-3</v>
      </c>
      <c r="Z208" s="98" t="str">
        <f t="shared" si="107"/>
        <v>0,999999478547649+0,000992873359710667i</v>
      </c>
      <c r="AA208" s="160">
        <f t="shared" si="118"/>
        <v>0.99999997144653885</v>
      </c>
      <c r="AB208" s="160">
        <f t="shared" si="119"/>
        <v>9.9287355118940577E-4</v>
      </c>
      <c r="AC208" s="171" t="str">
        <f t="shared" si="120"/>
        <v>5,72383795068039-25,8659160435231i</v>
      </c>
      <c r="AD208" s="190">
        <f t="shared" si="121"/>
        <v>28.462182734314659</v>
      </c>
      <c r="AE208" s="169">
        <f t="shared" si="122"/>
        <v>-77.522165842088214</v>
      </c>
      <c r="AF208" s="98" t="str">
        <f t="shared" si="108"/>
        <v>-0,0000375877424711299</v>
      </c>
      <c r="AG208" s="98" t="str">
        <f t="shared" si="109"/>
        <v>5,05579334291298E-06i</v>
      </c>
      <c r="AH208" s="98">
        <f t="shared" si="123"/>
        <v>5.0557933429129801E-6</v>
      </c>
      <c r="AI208" s="98">
        <f t="shared" si="124"/>
        <v>1.5707963267948966</v>
      </c>
      <c r="AJ208" s="98" t="str">
        <f t="shared" si="110"/>
        <v>1+0,00461154309764428i</v>
      </c>
      <c r="AK208" s="98">
        <f t="shared" si="125"/>
        <v>1.0000106331083392</v>
      </c>
      <c r="AL208" s="98">
        <f t="shared" si="126"/>
        <v>4.6115104078626838E-3</v>
      </c>
      <c r="AM208" s="98" t="str">
        <f t="shared" si="111"/>
        <v>1+0,35934562753182i</v>
      </c>
      <c r="AN208" s="98">
        <f t="shared" si="127"/>
        <v>1.0626049501231574</v>
      </c>
      <c r="AO208" s="98">
        <f t="shared" si="128"/>
        <v>0.3449761640710296</v>
      </c>
      <c r="AP208" s="168" t="str">
        <f t="shared" si="129"/>
        <v>-2,63724581984627+7,44675015913171i</v>
      </c>
      <c r="AQ208" s="98">
        <f t="shared" si="130"/>
        <v>17.952482916040175</v>
      </c>
      <c r="AR208" s="169">
        <f t="shared" si="131"/>
        <v>109.50145815033146</v>
      </c>
      <c r="AS208" s="168" t="str">
        <f t="shared" si="132"/>
        <v>177,521846704284+110,838770132349i</v>
      </c>
      <c r="AT208" s="190">
        <f t="shared" si="133"/>
        <v>46.414665650354834</v>
      </c>
      <c r="AU208" s="169">
        <f t="shared" si="134"/>
        <v>31.979292308243178</v>
      </c>
      <c r="AV208" s="225"/>
      <c r="AX208">
        <f t="shared" si="135"/>
        <v>0</v>
      </c>
      <c r="AY208">
        <f t="shared" si="136"/>
        <v>0</v>
      </c>
    </row>
    <row r="209" spans="14:51" x14ac:dyDescent="0.25">
      <c r="N209" s="170">
        <v>91</v>
      </c>
      <c r="O209" s="199">
        <f t="shared" si="137"/>
        <v>812.83051616409978</v>
      </c>
      <c r="P209" s="189" t="str">
        <f t="shared" si="103"/>
        <v>120,833333333333</v>
      </c>
      <c r="Q209" s="160" t="str">
        <f t="shared" si="104"/>
        <v>1+4,55388857444729i</v>
      </c>
      <c r="R209" s="160">
        <f t="shared" si="112"/>
        <v>4.6623922130684781</v>
      </c>
      <c r="S209" s="160">
        <f t="shared" si="113"/>
        <v>1.3546346958014597</v>
      </c>
      <c r="T209" s="160" t="str">
        <f t="shared" si="105"/>
        <v>1+0,000306429885383368i</v>
      </c>
      <c r="U209" s="160">
        <f t="shared" si="114"/>
        <v>1.0000000469496362</v>
      </c>
      <c r="V209" s="160">
        <f t="shared" si="115"/>
        <v>3.0642987579218724E-4</v>
      </c>
      <c r="W209" s="98" t="str">
        <f t="shared" si="106"/>
        <v>1-0,00262303981888163i</v>
      </c>
      <c r="X209" s="160">
        <f t="shared" si="116"/>
        <v>1.0000034401630284</v>
      </c>
      <c r="Y209" s="160">
        <f t="shared" si="117"/>
        <v>-2.6230338031063786E-3</v>
      </c>
      <c r="Z209" s="98" t="str">
        <f t="shared" si="107"/>
        <v>0,999999453972357+0,00101600035121417i</v>
      </c>
      <c r="AA209" s="160">
        <f t="shared" si="118"/>
        <v>0.9999999701008625</v>
      </c>
      <c r="AB209" s="160">
        <f t="shared" si="119"/>
        <v>1.0160005563873324E-3</v>
      </c>
      <c r="AC209" s="171" t="str">
        <f t="shared" si="120"/>
        <v>5,47427644329114-25,3319353277835i</v>
      </c>
      <c r="AD209" s="190">
        <f t="shared" si="121"/>
        <v>28.271589577069747</v>
      </c>
      <c r="AE209" s="169">
        <f t="shared" si="122"/>
        <v>-77.805795023114257</v>
      </c>
      <c r="AF209" s="98" t="str">
        <f t="shared" si="108"/>
        <v>-0,0000375877424711299</v>
      </c>
      <c r="AG209" s="98" t="str">
        <f t="shared" si="109"/>
        <v>5,17355789822254E-06i</v>
      </c>
      <c r="AH209" s="98">
        <f t="shared" si="123"/>
        <v>5.1735578982225404E-6</v>
      </c>
      <c r="AI209" s="98">
        <f t="shared" si="124"/>
        <v>1.5707963267948966</v>
      </c>
      <c r="AJ209" s="98" t="str">
        <f t="shared" si="110"/>
        <v>1+0,00471895973542007i</v>
      </c>
      <c r="AK209" s="98">
        <f t="shared" si="125"/>
        <v>1.0000111342285067</v>
      </c>
      <c r="AL209" s="98">
        <f t="shared" si="126"/>
        <v>4.7189247077090695E-3</v>
      </c>
      <c r="AM209" s="98" t="str">
        <f t="shared" si="111"/>
        <v>1+0,367715862460042i</v>
      </c>
      <c r="AN209" s="98">
        <f t="shared" si="127"/>
        <v>1.0654646664740848</v>
      </c>
      <c r="AO209" s="98">
        <f t="shared" si="128"/>
        <v>0.35236933449040114</v>
      </c>
      <c r="AP209" s="168" t="str">
        <f t="shared" si="129"/>
        <v>-2,63724317672223+7,27780153801435i</v>
      </c>
      <c r="AQ209" s="98">
        <f t="shared" si="130"/>
        <v>17.775822908333303</v>
      </c>
      <c r="AR209" s="169">
        <f t="shared" si="131"/>
        <v>109.91890122654182</v>
      </c>
      <c r="AS209" s="168" t="str">
        <f t="shared" si="132"/>
        <v>169,923799691862+106,647171114866i</v>
      </c>
      <c r="AT209" s="190">
        <f t="shared" si="133"/>
        <v>46.047412485403058</v>
      </c>
      <c r="AU209" s="169">
        <f t="shared" si="134"/>
        <v>32.113106203427591</v>
      </c>
      <c r="AV209" s="225"/>
      <c r="AX209">
        <f t="shared" si="135"/>
        <v>0</v>
      </c>
      <c r="AY209">
        <f t="shared" si="136"/>
        <v>0</v>
      </c>
    </row>
    <row r="210" spans="14:51" x14ac:dyDescent="0.25">
      <c r="N210" s="170">
        <v>92</v>
      </c>
      <c r="O210" s="199">
        <f t="shared" si="137"/>
        <v>831.7637711026714</v>
      </c>
      <c r="P210" s="189" t="str">
        <f t="shared" si="103"/>
        <v>120,833333333333</v>
      </c>
      <c r="Q210" s="160" t="str">
        <f t="shared" si="104"/>
        <v>1+4,65996226585931i</v>
      </c>
      <c r="R210" s="160">
        <f t="shared" si="112"/>
        <v>4.7660516488213425</v>
      </c>
      <c r="S210" s="160">
        <f t="shared" si="113"/>
        <v>1.3594082491766841</v>
      </c>
      <c r="T210" s="160" t="str">
        <f t="shared" si="105"/>
        <v>1+0,000313567554338195i</v>
      </c>
      <c r="U210" s="160">
        <f t="shared" si="114"/>
        <v>1.0000000491623044</v>
      </c>
      <c r="V210" s="160">
        <f t="shared" si="115"/>
        <v>3.1356754406105966E-4</v>
      </c>
      <c r="W210" s="98" t="str">
        <f t="shared" si="106"/>
        <v>1-0,00268413826513495i</v>
      </c>
      <c r="X210" s="160">
        <f t="shared" si="116"/>
        <v>1.0000036022926249</v>
      </c>
      <c r="Y210" s="160">
        <f t="shared" si="117"/>
        <v>-2.6841318191168865E-3</v>
      </c>
      <c r="Z210" s="98" t="str">
        <f t="shared" si="107"/>
        <v>0,999999428238867+0,00103966603955225i</v>
      </c>
      <c r="AA210" s="160">
        <f t="shared" si="118"/>
        <v>0.99999996869176688</v>
      </c>
      <c r="AB210" s="160">
        <f t="shared" si="119"/>
        <v>1.0396662593992519E-3</v>
      </c>
      <c r="AC210" s="171" t="str">
        <f t="shared" si="120"/>
        <v>5,23493480050623-24,8066688763526i</v>
      </c>
      <c r="AD210" s="190">
        <f t="shared" si="121"/>
        <v>28.080592223664681</v>
      </c>
      <c r="AE210" s="169">
        <f t="shared" si="122"/>
        <v>-78.083747129883477</v>
      </c>
      <c r="AF210" s="98" t="str">
        <f t="shared" si="108"/>
        <v>-0,0000375877424711299</v>
      </c>
      <c r="AG210" s="98" t="str">
        <f t="shared" si="109"/>
        <v>5,29406554240987E-06i</v>
      </c>
      <c r="AH210" s="98">
        <f t="shared" si="123"/>
        <v>5.2940655424098703E-6</v>
      </c>
      <c r="AI210" s="98">
        <f t="shared" si="124"/>
        <v>1.5707963267948966</v>
      </c>
      <c r="AJ210" s="98" t="str">
        <f t="shared" si="110"/>
        <v>1+0,0048288784281104i</v>
      </c>
      <c r="AK210" s="98">
        <f t="shared" si="125"/>
        <v>1.0000116589654711</v>
      </c>
      <c r="AL210" s="98">
        <f t="shared" si="126"/>
        <v>4.8288408952654781E-3</v>
      </c>
      <c r="AM210" s="98" t="str">
        <f t="shared" si="111"/>
        <v>1+0,376281065205834i</v>
      </c>
      <c r="AN210" s="98">
        <f t="shared" si="127"/>
        <v>1.0684509534987729</v>
      </c>
      <c r="AO210" s="98">
        <f t="shared" si="128"/>
        <v>0.35989332262876178</v>
      </c>
      <c r="AP210" s="168" t="str">
        <f t="shared" si="129"/>
        <v>-2,63724040903726+7,11271170242957i</v>
      </c>
      <c r="AQ210" s="98">
        <f t="shared" si="130"/>
        <v>17.600129130455237</v>
      </c>
      <c r="AR210" s="169">
        <f t="shared" si="131"/>
        <v>110.34369625832923</v>
      </c>
      <c r="AS210" s="168" t="str">
        <f t="shared" si="132"/>
        <v>162,636902420558+102,65573159134i</v>
      </c>
      <c r="AT210" s="190">
        <f t="shared" si="133"/>
        <v>45.680721354119896</v>
      </c>
      <c r="AU210" s="169">
        <f t="shared" si="134"/>
        <v>32.259949128445662</v>
      </c>
      <c r="AV210" s="225"/>
      <c r="AX210">
        <f t="shared" si="135"/>
        <v>0</v>
      </c>
      <c r="AY210">
        <f t="shared" si="136"/>
        <v>0</v>
      </c>
    </row>
    <row r="211" spans="14:51" x14ac:dyDescent="0.25">
      <c r="N211" s="170">
        <v>93</v>
      </c>
      <c r="O211" s="199">
        <f t="shared" si="137"/>
        <v>851.13803820237763</v>
      </c>
      <c r="P211" s="189" t="str">
        <f t="shared" ref="P211:P274" si="138">COMPLEX(Adc,0)</f>
        <v>120,833333333333</v>
      </c>
      <c r="Q211" s="160" t="str">
        <f t="shared" ref="Q211:Q274" si="139">IMSUM(COMPLEX(1,0),IMDIV(COMPLEX(0,2*PI()*O211),COMPLEX(wp_lf,0)))</f>
        <v>1+4,76850673094658i</v>
      </c>
      <c r="R211" s="160">
        <f t="shared" si="112"/>
        <v>4.8722332090205658</v>
      </c>
      <c r="S211" s="160">
        <f t="shared" si="113"/>
        <v>1.3640826123558349</v>
      </c>
      <c r="T211" s="160" t="str">
        <f t="shared" ref="T211:T274" si="140">IMSUM(COMPLEX(1,0),IMDIV(COMPLEX(0,2*PI()*O211),COMPLEX(wz_esr,0)))</f>
        <v>1+0,00032087148096089i</v>
      </c>
      <c r="U211" s="160">
        <f t="shared" si="114"/>
        <v>1.0000000514792524</v>
      </c>
      <c r="V211" s="160">
        <f t="shared" si="115"/>
        <v>3.2087146994874113E-4</v>
      </c>
      <c r="W211" s="98" t="str">
        <f t="shared" ref="W211:W274" si="141">IMSUB(COMPLEX(1,0),IMDIV(COMPLEX(0,2*PI()*O211),COMPLEX(wz_rhp,0)))</f>
        <v>1-0,00274665987702522i</v>
      </c>
      <c r="X211" s="160">
        <f t="shared" si="116"/>
        <v>1.0000037720631259</v>
      </c>
      <c r="Y211" s="160">
        <f t="shared" si="117"/>
        <v>-2.7466529699938301E-3</v>
      </c>
      <c r="Z211" s="98" t="str">
        <f t="shared" ref="Z211:Z274" si="142">IF(Dc_Mode_Loop="CCM",IMSUM(COMPLEX(1,0),IMDIV(COMPLEX(0,2*PI()*O211),COMPLEX(Q*(wsl/2),0)),IMDIV(IMPOWER(COMPLEX(0,2*PI()*O211),2),IMPOWER(COMPLEX(wsl/2,0),2))),COMPLEX(1,0))</f>
        <v>0,999999401292595+0,0010638829725861i</v>
      </c>
      <c r="AA211" s="160">
        <f t="shared" si="118"/>
        <v>0.99999996721626339</v>
      </c>
      <c r="AB211" s="160">
        <f t="shared" si="119"/>
        <v>1.0638832081564036E-3</v>
      </c>
      <c r="AC211" s="171" t="str">
        <f t="shared" si="120"/>
        <v>5,0054363583549-24,2901255553055i</v>
      </c>
      <c r="AD211" s="190">
        <f t="shared" si="121"/>
        <v>27.889207267506364</v>
      </c>
      <c r="AE211" s="169">
        <f t="shared" si="122"/>
        <v>-78.356119654864955</v>
      </c>
      <c r="AF211" s="98" t="str">
        <f t="shared" ref="AF211:AF274" si="143">COMPLEX(Adc_ea,0)</f>
        <v>-0,0000375877424711299</v>
      </c>
      <c r="AG211" s="98" t="str">
        <f t="shared" ref="AG211:AG274" si="144">COMPLEX(0,2*PI()*O211*wp0_ea)</f>
        <v>5,41738017022303E-06i</v>
      </c>
      <c r="AH211" s="98">
        <f t="shared" si="123"/>
        <v>5.4173801702230304E-6</v>
      </c>
      <c r="AI211" s="98">
        <f t="shared" si="124"/>
        <v>1.5707963267948966</v>
      </c>
      <c r="AJ211" s="98" t="str">
        <f t="shared" ref="AJ211:AJ274" si="145">IMSUM(COMPLEX(1,0),IMDIV(COMPLEX(0,2*PI()*O211),COMPLEX(wp1_ea,0)))</f>
        <v>1+0,00494135745606108i</v>
      </c>
      <c r="AK211" s="98">
        <f t="shared" si="125"/>
        <v>1.0000122084322314</v>
      </c>
      <c r="AL211" s="98">
        <f t="shared" si="126"/>
        <v>4.9413172389196824E-3</v>
      </c>
      <c r="AM211" s="98" t="str">
        <f t="shared" ref="AM211:AM274" si="146">IMSUM(COMPLEX(1,0),IMDIV(COMPLEX(0,2*PI()*O211),COMPLEX(wz_ea,0)))</f>
        <v>1+0,385045777153068i</v>
      </c>
      <c r="AN211" s="98">
        <f t="shared" si="127"/>
        <v>1.0715690600719163</v>
      </c>
      <c r="AO211" s="98">
        <f t="shared" si="128"/>
        <v>0.36754870932402289</v>
      </c>
      <c r="AP211" s="168" t="str">
        <f t="shared" si="129"/>
        <v>-2,63723751092156+6,95139311947729i</v>
      </c>
      <c r="AQ211" s="98">
        <f t="shared" si="130"/>
        <v>17.425435848982477</v>
      </c>
      <c r="AR211" s="169">
        <f t="shared" si="131"/>
        <v>110.77587318672185</v>
      </c>
      <c r="AS211" s="168" t="str">
        <f t="shared" si="132"/>
        <v>155,649687133606+98,8535861208958i</v>
      </c>
      <c r="AT211" s="190">
        <f t="shared" si="133"/>
        <v>45.314643116488838</v>
      </c>
      <c r="AU211" s="169">
        <f t="shared" si="134"/>
        <v>32.419753531856905</v>
      </c>
      <c r="AV211" s="225"/>
      <c r="AX211">
        <f t="shared" si="135"/>
        <v>0</v>
      </c>
      <c r="AY211">
        <f t="shared" si="136"/>
        <v>0</v>
      </c>
    </row>
    <row r="212" spans="14:51" x14ac:dyDescent="0.25">
      <c r="N212" s="170">
        <v>94</v>
      </c>
      <c r="O212" s="199">
        <f t="shared" si="137"/>
        <v>870.96358995608091</v>
      </c>
      <c r="P212" s="189" t="str">
        <f t="shared" si="138"/>
        <v>120,833333333333</v>
      </c>
      <c r="Q212" s="160" t="str">
        <f t="shared" si="139"/>
        <v>1+4,87957952142123i</v>
      </c>
      <c r="R212" s="160">
        <f t="shared" ref="R212:R275" si="147">IMABS(Q212)</f>
        <v>4.9809935059055679</v>
      </c>
      <c r="S212" s="160">
        <f t="shared" ref="S212:S275" si="148">IMARGUMENT(Q212)</f>
        <v>1.3686594463016857</v>
      </c>
      <c r="T212" s="160" t="str">
        <f t="shared" si="140"/>
        <v>1+0,000328345537890025i</v>
      </c>
      <c r="U212" s="160">
        <f t="shared" ref="U212:U275" si="149">IMABS(T212)</f>
        <v>1.0000000539053946</v>
      </c>
      <c r="V212" s="160">
        <f t="shared" ref="V212:V275" si="150">IMARGUMENT(T212)</f>
        <v>3.2834552609029493E-4</v>
      </c>
      <c r="W212" s="98" t="str">
        <f t="shared" si="141"/>
        <v>1-0,00281063780433862i</v>
      </c>
      <c r="X212" s="160">
        <f t="shared" ref="X212:X275" si="151">IMABS(W212)</f>
        <v>1.0000039498346329</v>
      </c>
      <c r="Y212" s="160">
        <f t="shared" ref="Y212:Y275" si="152">IMARGUMENT(W212)</f>
        <v>-2.8106304033227226E-3</v>
      </c>
      <c r="Z212" s="98" t="str">
        <f t="shared" si="142"/>
        <v>0,999999373076384+0,00108866399045417i</v>
      </c>
      <c r="AA212" s="160">
        <f t="shared" ref="AA212:AA275" si="153">IMABS(Z212)</f>
        <v>0.99999996567122207</v>
      </c>
      <c r="AB212" s="160">
        <f t="shared" ref="AB212:AB275" si="154">IMARGUMENT(Z212)</f>
        <v>1.088664242872295E-3</v>
      </c>
      <c r="AC212" s="171" t="str">
        <f t="shared" ref="AC212:AC275" si="155">(IMDIV(IMPRODUCT(P212,T212,W212),IMPRODUCT(Q212,Z212)))</f>
        <v>4,7854147780885-23,782302463359i</v>
      </c>
      <c r="AD212" s="190">
        <f t="shared" ref="AD212:AD275" si="156">20*LOG(IMABS(AC212))</f>
        <v>27.697450687689248</v>
      </c>
      <c r="AE212" s="169">
        <f t="shared" ref="AE212:AE275" si="157">(180/PI())*IMARGUMENT(AC212)</f>
        <v>-78.623010177236679</v>
      </c>
      <c r="AF212" s="98" t="str">
        <f t="shared" si="143"/>
        <v>-0,0000375877424711299</v>
      </c>
      <c r="AG212" s="98" t="str">
        <f t="shared" si="144"/>
        <v>5,54356716470994E-06i</v>
      </c>
      <c r="AH212" s="98">
        <f t="shared" ref="AH212:AH275" si="158">IMABS(AG212)</f>
        <v>5.5435671647099403E-6</v>
      </c>
      <c r="AI212" s="98">
        <f t="shared" ref="AI212:AI275" si="159">IMARGUMENT(AG212)</f>
        <v>1.5707963267948966</v>
      </c>
      <c r="AJ212" s="98" t="str">
        <f t="shared" si="145"/>
        <v>1+0,00505645645714155i</v>
      </c>
      <c r="AK212" s="98">
        <f t="shared" ref="AK212:AK275" si="160">IMABS(AJ212)</f>
        <v>1.0000127837942387</v>
      </c>
      <c r="AL212" s="98">
        <f t="shared" ref="AL212:AL275" si="161">IMARGUMENT(AJ212)</f>
        <v>5.0564133637278942E-3</v>
      </c>
      <c r="AM212" s="98" t="str">
        <f t="shared" si="146"/>
        <v>1+0,394014645468031i</v>
      </c>
      <c r="AN212" s="98">
        <f t="shared" ref="AN212:AN275" si="162">IMABS(AM212)</f>
        <v>1.074824423263306</v>
      </c>
      <c r="AO212" s="98">
        <f t="shared" ref="AO212:AO275" si="163">IMARGUMENT(AM212)</f>
        <v>0.37533596340575354</v>
      </c>
      <c r="AP212" s="168" t="str">
        <f t="shared" ref="AP212:AP275" si="164">IMPRODUCT(AF212,IMDIV(AM212,IMPRODUCT(AG212,AJ212)))</f>
        <v>-2,63723447622869+6,79376025581934i</v>
      </c>
      <c r="AQ212" s="98">
        <f t="shared" ref="AQ212:AQ275" si="165">20*LOG(IMABS(AP212))</f>
        <v>17.251778068193953</v>
      </c>
      <c r="AR212" s="169">
        <f t="shared" ref="AR212:AR275" si="166">(180/PI())*IMARGUMENT(AP212)</f>
        <v>111.2154554574113</v>
      </c>
      <c r="AS212" s="168" t="str">
        <f t="shared" ref="AS212:AS275" si="167">IMPRODUCT(AC212,AP212)</f>
        <v>148,951000431613+95,230468707457i</v>
      </c>
      <c r="AT212" s="190">
        <f t="shared" ref="AT212:AT275" si="168">20*LOG(IMABS(AS212))</f>
        <v>44.949228755883183</v>
      </c>
      <c r="AU212" s="169">
        <f t="shared" ref="AU212:AU275" si="169">(180/PI())*IMARGUMENT(AS212)</f>
        <v>32.592445280174687</v>
      </c>
      <c r="AV212" s="225"/>
      <c r="AX212">
        <f t="shared" ref="AX212:AX275" si="170">SUM((AT213&lt;0)*(AT212&gt;0))*O212</f>
        <v>0</v>
      </c>
      <c r="AY212">
        <f t="shared" ref="AY212:AY275" si="171">IF(AX212&gt;0,AU212,0)</f>
        <v>0</v>
      </c>
    </row>
    <row r="213" spans="14:51" x14ac:dyDescent="0.25">
      <c r="N213" s="170">
        <v>95</v>
      </c>
      <c r="O213" s="199">
        <f t="shared" si="137"/>
        <v>891.25093813374656</v>
      </c>
      <c r="P213" s="189" t="str">
        <f t="shared" si="138"/>
        <v>120,833333333333</v>
      </c>
      <c r="Q213" s="160" t="str">
        <f t="shared" si="139"/>
        <v>1+4,99323952954703i</v>
      </c>
      <c r="R213" s="160">
        <f t="shared" si="147"/>
        <v>5.0923904995032583</v>
      </c>
      <c r="S213" s="160">
        <f t="shared" si="148"/>
        <v>1.3731404103694429</v>
      </c>
      <c r="T213" s="160" t="str">
        <f t="shared" si="140"/>
        <v>1+0,000335993687969518i</v>
      </c>
      <c r="U213" s="160">
        <f t="shared" si="149"/>
        <v>1.0000000564458775</v>
      </c>
      <c r="V213" s="160">
        <f t="shared" si="150"/>
        <v>3.359936753258794E-4</v>
      </c>
      <c r="W213" s="98" t="str">
        <f t="shared" si="141"/>
        <v>1-0,00287610596901908i</v>
      </c>
      <c r="X213" s="160">
        <f t="shared" si="151"/>
        <v>1.0000041359842193</v>
      </c>
      <c r="Y213" s="160">
        <f t="shared" si="152"/>
        <v>-2.8760980386894393E-3</v>
      </c>
      <c r="Z213" s="98" t="str">
        <f t="shared" si="142"/>
        <v>0,999999343530385+0,00111402223238016i</v>
      </c>
      <c r="AA213" s="160">
        <f t="shared" si="153"/>
        <v>0.999999964053367</v>
      </c>
      <c r="AB213" s="160">
        <f t="shared" si="154"/>
        <v>1.1140225028510493E-3</v>
      </c>
      <c r="AC213" s="171" t="str">
        <f t="shared" si="155"/>
        <v>4,57451408050085-23,2831857492677i</v>
      </c>
      <c r="AD213" s="190">
        <f t="shared" si="156"/>
        <v>27.505337866112995</v>
      </c>
      <c r="AE213" s="169">
        <f t="shared" si="157"/>
        <v>-78.884516240270429</v>
      </c>
      <c r="AF213" s="98" t="str">
        <f t="shared" si="143"/>
        <v>-0,0000375877424711299</v>
      </c>
      <c r="AG213" s="98" t="str">
        <f t="shared" si="144"/>
        <v>5,67269343188538E-06i</v>
      </c>
      <c r="AH213" s="98">
        <f t="shared" si="158"/>
        <v>5.6726934318853802E-6</v>
      </c>
      <c r="AI213" s="98">
        <f t="shared" si="159"/>
        <v>1.5707963267948966</v>
      </c>
      <c r="AJ213" s="98" t="str">
        <f t="shared" si="145"/>
        <v>1+0,00517423645836573i</v>
      </c>
      <c r="AK213" s="98">
        <f t="shared" si="160"/>
        <v>1.0000133862718674</v>
      </c>
      <c r="AL213" s="98">
        <f t="shared" si="161"/>
        <v>5.1741902829744533E-3</v>
      </c>
      <c r="AM213" s="98" t="str">
        <f t="shared" si="146"/>
        <v>1+0,403192425563422i</v>
      </c>
      <c r="AN213" s="98">
        <f t="shared" si="162"/>
        <v>1.0782226727497968</v>
      </c>
      <c r="AO213" s="98">
        <f t="shared" si="163"/>
        <v>0.38325543491959851</v>
      </c>
      <c r="AP213" s="168" t="str">
        <f t="shared" si="164"/>
        <v>-2,63723129852263+6,63972953232841i</v>
      </c>
      <c r="AQ213" s="98">
        <f t="shared" si="165"/>
        <v>17.079191505768168</v>
      </c>
      <c r="AR213" s="169">
        <f t="shared" si="166"/>
        <v>111.66245963073169</v>
      </c>
      <c r="AS213" s="168" t="str">
        <f t="shared" si="167"/>
        <v>142,530004317471+91,7766824236385i</v>
      </c>
      <c r="AT213" s="190">
        <f t="shared" si="168"/>
        <v>44.584529371881146</v>
      </c>
      <c r="AU213" s="169">
        <f t="shared" si="169"/>
        <v>32.777943390461346</v>
      </c>
      <c r="AV213" s="225"/>
      <c r="AX213">
        <f t="shared" si="170"/>
        <v>0</v>
      </c>
      <c r="AY213">
        <f t="shared" si="171"/>
        <v>0</v>
      </c>
    </row>
    <row r="214" spans="14:51" x14ac:dyDescent="0.25">
      <c r="N214" s="170">
        <v>96</v>
      </c>
      <c r="O214" s="199">
        <f t="shared" si="137"/>
        <v>912.01083935590987</v>
      </c>
      <c r="P214" s="189" t="str">
        <f t="shared" si="138"/>
        <v>120,833333333333</v>
      </c>
      <c r="Q214" s="160" t="str">
        <f t="shared" si="139"/>
        <v>1+5,10954701936472i</v>
      </c>
      <c r="R214" s="160">
        <f t="shared" si="147"/>
        <v>5.2064835295138403</v>
      </c>
      <c r="S214" s="160">
        <f t="shared" si="148"/>
        <v>1.3775271602967523</v>
      </c>
      <c r="T214" s="160" t="str">
        <f t="shared" si="140"/>
        <v>1+0,000343819986349773i</v>
      </c>
      <c r="U214" s="160">
        <f t="shared" si="149"/>
        <v>1.0000000591060898</v>
      </c>
      <c r="V214" s="160">
        <f t="shared" si="150"/>
        <v>3.4381997280187024E-4</v>
      </c>
      <c r="W214" s="98" t="str">
        <f t="shared" si="141"/>
        <v>1-0,00294309908315406i</v>
      </c>
      <c r="X214" s="160">
        <f t="shared" si="151"/>
        <v>1.0000043309067284</v>
      </c>
      <c r="Y214" s="160">
        <f t="shared" si="152"/>
        <v>-2.9430905856547402E-3</v>
      </c>
      <c r="Z214" s="98" t="str">
        <f t="shared" si="142"/>
        <v>0,999999312591925+0,00113997114363958i</v>
      </c>
      <c r="AA214" s="160">
        <f t="shared" si="153"/>
        <v>0.9999999623592648</v>
      </c>
      <c r="AB214" s="160">
        <f t="shared" si="154"/>
        <v>1.1399714334543556E-3</v>
      </c>
      <c r="AC214" s="171" t="str">
        <f t="shared" si="155"/>
        <v>4,37238864461428-22,7927513948118i</v>
      </c>
      <c r="AD214" s="190">
        <f t="shared" si="156"/>
        <v>27.312883604627643</v>
      </c>
      <c r="AE214" s="169">
        <f t="shared" si="157"/>
        <v>-79.140735237476378</v>
      </c>
      <c r="AF214" s="98" t="str">
        <f t="shared" si="143"/>
        <v>-0,0000375877424711299</v>
      </c>
      <c r="AG214" s="98" t="str">
        <f t="shared" si="144"/>
        <v>5,80482743620536E-06i</v>
      </c>
      <c r="AH214" s="98">
        <f t="shared" si="158"/>
        <v>5.8048274362053596E-6</v>
      </c>
      <c r="AI214" s="98">
        <f t="shared" si="159"/>
        <v>1.5707963267948966</v>
      </c>
      <c r="AJ214" s="98" t="str">
        <f t="shared" si="145"/>
        <v>1+0,00529475990824922i</v>
      </c>
      <c r="AK214" s="98">
        <f t="shared" si="160"/>
        <v>1.0000140171430028</v>
      </c>
      <c r="AL214" s="98">
        <f t="shared" si="161"/>
        <v>5.2947104304634958E-3</v>
      </c>
      <c r="AM214" s="98" t="str">
        <f t="shared" si="146"/>
        <v>1+0,412583983619729i</v>
      </c>
      <c r="AN214" s="98">
        <f t="shared" si="162"/>
        <v>1.0817696351532173</v>
      </c>
      <c r="AO214" s="98">
        <f t="shared" si="163"/>
        <v>0.39130734828900043</v>
      </c>
      <c r="AP214" s="168" t="str">
        <f t="shared" si="164"/>
        <v>-2,63722797106412+6,48921927977255i</v>
      </c>
      <c r="AQ214" s="98">
        <f t="shared" si="165"/>
        <v>16.907712564493256</v>
      </c>
      <c r="AR214" s="169">
        <f t="shared" si="166"/>
        <v>112.11689498800604</v>
      </c>
      <c r="AS214" s="168" t="str">
        <f t="shared" si="167"/>
        <v>136,376176156336+88,483070207198i</v>
      </c>
      <c r="AT214" s="190">
        <f t="shared" si="168"/>
        <v>44.220596169120924</v>
      </c>
      <c r="AU214" s="169">
        <f t="shared" si="169"/>
        <v>32.97615975052959</v>
      </c>
      <c r="AV214" s="225"/>
      <c r="AX214">
        <f t="shared" si="170"/>
        <v>0</v>
      </c>
      <c r="AY214">
        <f t="shared" si="171"/>
        <v>0</v>
      </c>
    </row>
    <row r="215" spans="14:51" x14ac:dyDescent="0.25">
      <c r="N215" s="170">
        <v>97</v>
      </c>
      <c r="O215" s="199">
        <f t="shared" si="137"/>
        <v>933.25430079699106</v>
      </c>
      <c r="P215" s="189" t="str">
        <f t="shared" si="138"/>
        <v>120,833333333333</v>
      </c>
      <c r="Q215" s="160" t="str">
        <f t="shared" si="139"/>
        <v>1+5,22856365864493i</v>
      </c>
      <c r="R215" s="160">
        <f t="shared" si="147"/>
        <v>5.3233333478660203</v>
      </c>
      <c r="S215" s="160">
        <f t="shared" si="148"/>
        <v>1.3818213463395366</v>
      </c>
      <c r="T215" s="160" t="str">
        <f t="shared" si="140"/>
        <v>1+0,000351828582637788i</v>
      </c>
      <c r="U215" s="160">
        <f t="shared" si="149"/>
        <v>1.0000000618916738</v>
      </c>
      <c r="V215" s="160">
        <f t="shared" si="150"/>
        <v>3.5182856812094872E-4</v>
      </c>
      <c r="W215" s="98" t="str">
        <f t="shared" si="141"/>
        <v>1-0,00301165266737947i</v>
      </c>
      <c r="X215" s="160">
        <f t="shared" si="151"/>
        <v>1.0000045350156113</v>
      </c>
      <c r="Y215" s="160">
        <f t="shared" si="152"/>
        <v>-3.0116435621471331E-3</v>
      </c>
      <c r="Z215" s="98" t="str">
        <f t="shared" si="142"/>
        <v>0,99999928019538+0,00116652448268866i</v>
      </c>
      <c r="AA215" s="160">
        <f t="shared" si="153"/>
        <v>0.9999999605853227</v>
      </c>
      <c r="AB215" s="160">
        <f t="shared" si="154"/>
        <v>1.1665247932307827E-3</v>
      </c>
      <c r="AC215" s="171" t="str">
        <f t="shared" si="155"/>
        <v>4,178703174228-22,3109659633894i</v>
      </c>
      <c r="AD215" s="190">
        <f t="shared" si="156"/>
        <v>27.120102142149719</v>
      </c>
      <c r="AE215" s="169">
        <f t="shared" si="157"/>
        <v>-79.391764307133471</v>
      </c>
      <c r="AF215" s="98" t="str">
        <f t="shared" si="143"/>
        <v>-0,0000375877424711299</v>
      </c>
      <c r="AG215" s="98" t="str">
        <f t="shared" si="144"/>
        <v>0,000005940039236868i</v>
      </c>
      <c r="AH215" s="98">
        <f t="shared" si="158"/>
        <v>5.9400392368679999E-6</v>
      </c>
      <c r="AI215" s="98">
        <f t="shared" si="159"/>
        <v>1.5707963267948966</v>
      </c>
      <c r="AJ215" s="98" t="str">
        <f t="shared" si="145"/>
        <v>1+0,00541809070992052i</v>
      </c>
      <c r="AK215" s="98">
        <f t="shared" si="160"/>
        <v>1.0000146777457524</v>
      </c>
      <c r="AL215" s="98">
        <f t="shared" si="161"/>
        <v>5.4180376935599635E-3</v>
      </c>
      <c r="AM215" s="98" t="str">
        <f t="shared" si="146"/>
        <v>1+0,422194299165346i</v>
      </c>
      <c r="AN215" s="98">
        <f t="shared" si="162"/>
        <v>1.0854713382893708</v>
      </c>
      <c r="AO215" s="98">
        <f t="shared" si="163"/>
        <v>0.39949179544281621</v>
      </c>
      <c r="AP215" s="168" t="str">
        <f t="shared" si="164"/>
        <v>-2,63722448679632+6,34214969551277i</v>
      </c>
      <c r="AQ215" s="98">
        <f t="shared" si="165"/>
        <v>16.737378299806522</v>
      </c>
      <c r="AR215" s="169">
        <f t="shared" si="166"/>
        <v>112.5787631358933</v>
      </c>
      <c r="AS215" s="168" t="str">
        <f t="shared" si="167"/>
        <v>130,479307657178+85,3409868267981i</v>
      </c>
      <c r="AT215" s="190">
        <f t="shared" si="168"/>
        <v>43.857480441956227</v>
      </c>
      <c r="AU215" s="169">
        <f t="shared" si="169"/>
        <v>33.186998828759869</v>
      </c>
      <c r="AV215" s="225"/>
      <c r="AX215">
        <f t="shared" si="170"/>
        <v>0</v>
      </c>
      <c r="AY215">
        <f t="shared" si="171"/>
        <v>0</v>
      </c>
    </row>
    <row r="216" spans="14:51" x14ac:dyDescent="0.25">
      <c r="N216" s="170">
        <v>98</v>
      </c>
      <c r="O216" s="199">
        <f t="shared" si="137"/>
        <v>954.99258602143675</v>
      </c>
      <c r="P216" s="189" t="str">
        <f t="shared" si="138"/>
        <v>120,833333333333</v>
      </c>
      <c r="Q216" s="160" t="str">
        <f t="shared" si="139"/>
        <v>1+5,35035255158519i</v>
      </c>
      <c r="R216" s="160">
        <f t="shared" si="147"/>
        <v>5.4430021519611911</v>
      </c>
      <c r="S216" s="160">
        <f t="shared" si="148"/>
        <v>1.3860246115471118</v>
      </c>
      <c r="T216" s="160" t="str">
        <f t="shared" si="140"/>
        <v>1+0,000360023723097319i</v>
      </c>
      <c r="U216" s="160">
        <f t="shared" si="149"/>
        <v>1.0000000648085385</v>
      </c>
      <c r="V216" s="160">
        <f t="shared" si="150"/>
        <v>3.600237075422455E-4</v>
      </c>
      <c r="W216" s="98" t="str">
        <f t="shared" si="141"/>
        <v>1-0,00308180306971305i</v>
      </c>
      <c r="X216" s="160">
        <f t="shared" si="151"/>
        <v>1.0000047487438051</v>
      </c>
      <c r="Y216" s="160">
        <f t="shared" si="152"/>
        <v>-3.0817933132833248E-3</v>
      </c>
      <c r="Z216" s="98" t="str">
        <f t="shared" si="142"/>
        <v>0,999999246272034+0,00119369632845924i</v>
      </c>
      <c r="AA216" s="160">
        <f t="shared" si="153"/>
        <v>0.99999995872777936</v>
      </c>
      <c r="AB216" s="160">
        <f t="shared" si="154"/>
        <v>1.1936966612111136E-3</v>
      </c>
      <c r="AC216" s="171" t="str">
        <f t="shared" si="155"/>
        <v>3,99313263562052-21,8377873144169i</v>
      </c>
      <c r="AD216" s="190">
        <f t="shared" si="156"/>
        <v>26.927007171698627</v>
      </c>
      <c r="AE216" s="169">
        <f t="shared" si="157"/>
        <v>-79.637700234831073</v>
      </c>
      <c r="AF216" s="98" t="str">
        <f t="shared" si="143"/>
        <v>-0,0000375877424711299</v>
      </c>
      <c r="AG216" s="98" t="str">
        <f t="shared" si="144"/>
        <v>6,07840052495975E-06i</v>
      </c>
      <c r="AH216" s="98">
        <f t="shared" si="158"/>
        <v>6.0784005249597501E-6</v>
      </c>
      <c r="AI216" s="98">
        <f t="shared" si="159"/>
        <v>1.5707963267948966</v>
      </c>
      <c r="AJ216" s="98" t="str">
        <f t="shared" si="145"/>
        <v>1+0,00554429425500313i</v>
      </c>
      <c r="AK216" s="98">
        <f t="shared" si="160"/>
        <v>1.0000153694812826</v>
      </c>
      <c r="AL216" s="98">
        <f t="shared" si="161"/>
        <v>5.5442374469964542E-3</v>
      </c>
      <c r="AM216" s="98" t="str">
        <f t="shared" si="146"/>
        <v>1+0,432028467716783i</v>
      </c>
      <c r="AN216" s="98">
        <f t="shared" si="162"/>
        <v>1.0893340153128936</v>
      </c>
      <c r="AO216" s="98">
        <f t="shared" si="163"/>
        <v>0.40780872894030717</v>
      </c>
      <c r="AP216" s="168" t="str">
        <f t="shared" si="164"/>
        <v>-2,63722083832989+6,19844280119002i</v>
      </c>
      <c r="AQ216" s="98">
        <f t="shared" si="165"/>
        <v>16.568226382989884</v>
      </c>
      <c r="AR216" s="169">
        <f t="shared" si="166"/>
        <v>113.04805761054293</v>
      </c>
      <c r="AS216" s="168" t="str">
        <f t="shared" si="167"/>
        <v>124,829502976093+82,3422720080553i</v>
      </c>
      <c r="AT216" s="190">
        <f t="shared" si="168"/>
        <v>43.495233554688532</v>
      </c>
      <c r="AU216" s="169">
        <f t="shared" si="169"/>
        <v>33.410357375711776</v>
      </c>
      <c r="AV216" s="225"/>
      <c r="AX216">
        <f t="shared" si="170"/>
        <v>0</v>
      </c>
      <c r="AY216">
        <f t="shared" si="171"/>
        <v>0</v>
      </c>
    </row>
    <row r="217" spans="14:51" x14ac:dyDescent="0.25">
      <c r="N217" s="170">
        <v>99</v>
      </c>
      <c r="O217" s="199">
        <f t="shared" si="137"/>
        <v>977.23722095581138</v>
      </c>
      <c r="P217" s="189" t="str">
        <f t="shared" si="138"/>
        <v>120,833333333333</v>
      </c>
      <c r="Q217" s="160" t="str">
        <f t="shared" si="139"/>
        <v>1+5,47497827226858i</v>
      </c>
      <c r="R217" s="160">
        <f t="shared" si="147"/>
        <v>5.5655536186270851</v>
      </c>
      <c r="S217" s="160">
        <f t="shared" si="148"/>
        <v>1.3901385901701133</v>
      </c>
      <c r="T217" s="160" t="str">
        <f t="shared" si="140"/>
        <v>1+0,000368409752900313i</v>
      </c>
      <c r="U217" s="160">
        <f t="shared" si="149"/>
        <v>1.0000000678628707</v>
      </c>
      <c r="V217" s="160">
        <f t="shared" si="150"/>
        <v>3.6840973623275151E-4</v>
      </c>
      <c r="W217" s="98" t="str">
        <f t="shared" si="141"/>
        <v>1-0,00315358748482669i</v>
      </c>
      <c r="X217" s="160">
        <f t="shared" si="151"/>
        <v>1.0000049725446492</v>
      </c>
      <c r="Y217" s="160">
        <f t="shared" si="152"/>
        <v>-3.1535770306266963E-3</v>
      </c>
      <c r="Z217" s="98" t="str">
        <f t="shared" si="142"/>
        <v>0,999999210749929+0,0012215010878236i</v>
      </c>
      <c r="AA217" s="160">
        <f t="shared" si="153"/>
        <v>0.99999995678269327</v>
      </c>
      <c r="AB217" s="160">
        <f t="shared" si="154"/>
        <v>1.2215014443736508E-3</v>
      </c>
      <c r="AC217" s="171" t="str">
        <f t="shared" si="155"/>
        <v>3,81536216949396-21,373165283913i</v>
      </c>
      <c r="AD217" s="190">
        <f t="shared" si="156"/>
        <v>26.733611857309771</v>
      </c>
      <c r="AE217" s="169">
        <f t="shared" si="157"/>
        <v>-79.878639363652269</v>
      </c>
      <c r="AF217" s="98" t="str">
        <f t="shared" si="143"/>
        <v>-0,0000375877424711299</v>
      </c>
      <c r="AG217" s="98" t="str">
        <f t="shared" si="144"/>
        <v>6,21998466146697E-06i</v>
      </c>
      <c r="AH217" s="98">
        <f t="shared" si="158"/>
        <v>6.21998466146697E-6</v>
      </c>
      <c r="AI217" s="98">
        <f t="shared" si="159"/>
        <v>1.5707963267948966</v>
      </c>
      <c r="AJ217" s="98" t="str">
        <f t="shared" si="145"/>
        <v>1+0,00567343745828715i</v>
      </c>
      <c r="AK217" s="98">
        <f t="shared" si="160"/>
        <v>1.000016093816791</v>
      </c>
      <c r="AL217" s="98">
        <f t="shared" si="161"/>
        <v>5.6733765874642144E-3</v>
      </c>
      <c r="AM217" s="98" t="str">
        <f t="shared" si="146"/>
        <v>1+0,442091703480377i</v>
      </c>
      <c r="AN217" s="98">
        <f t="shared" si="162"/>
        <v>1.0933641087424544</v>
      </c>
      <c r="AO217" s="98">
        <f t="shared" si="163"/>
        <v>0.41625795512793357</v>
      </c>
      <c r="AP217" s="168" t="str">
        <f t="shared" si="164"/>
        <v>-2,63721701792737+6,05802240137948i</v>
      </c>
      <c r="AQ217" s="98">
        <f t="shared" si="165"/>
        <v>16.400295059863385</v>
      </c>
      <c r="AR217" s="169">
        <f t="shared" si="166"/>
        <v>113.52476348352653</v>
      </c>
      <c r="AS217" s="168" t="str">
        <f t="shared" si="167"/>
        <v>119,417176035385+79,4792247058801i</v>
      </c>
      <c r="AT217" s="190">
        <f t="shared" si="168"/>
        <v>43.133906917173135</v>
      </c>
      <c r="AU217" s="169">
        <f t="shared" si="169"/>
        <v>33.646124119874365</v>
      </c>
      <c r="AV217" s="225"/>
      <c r="AX217">
        <f t="shared" si="170"/>
        <v>0</v>
      </c>
      <c r="AY217">
        <f t="shared" si="171"/>
        <v>0</v>
      </c>
    </row>
    <row r="218" spans="14:51" x14ac:dyDescent="0.25">
      <c r="N218" s="170">
        <v>100</v>
      </c>
      <c r="O218" s="199">
        <f t="shared" si="137"/>
        <v>1000</v>
      </c>
      <c r="P218" s="189" t="str">
        <f t="shared" si="138"/>
        <v>120,833333333333</v>
      </c>
      <c r="Q218" s="160" t="str">
        <f t="shared" si="139"/>
        <v>1+5,60250689890182i</v>
      </c>
      <c r="R218" s="160">
        <f t="shared" si="147"/>
        <v>5.6910529388016133</v>
      </c>
      <c r="S218" s="160">
        <f t="shared" si="148"/>
        <v>1.3941649061948413</v>
      </c>
      <c r="T218" s="160" t="str">
        <f t="shared" si="140"/>
        <v>1+0,000376991118430775i</v>
      </c>
      <c r="U218" s="160">
        <f t="shared" si="149"/>
        <v>1.0000000710611492</v>
      </c>
      <c r="V218" s="160">
        <f t="shared" si="150"/>
        <v>3.7699110057116112E-4</v>
      </c>
      <c r="W218" s="98" t="str">
        <f t="shared" si="141"/>
        <v>1-0,00322704397376743i</v>
      </c>
      <c r="X218" s="160">
        <f t="shared" si="151"/>
        <v>1.0000052068928484</v>
      </c>
      <c r="Y218" s="160">
        <f t="shared" si="152"/>
        <v>-3.2270327718934666E-3</v>
      </c>
      <c r="Z218" s="98" t="str">
        <f t="shared" si="142"/>
        <v>0,999999173553719+0,00124995350323321i</v>
      </c>
      <c r="AA218" s="160">
        <f t="shared" si="153"/>
        <v>0.99999995474593961</v>
      </c>
      <c r="AB218" s="160">
        <f t="shared" si="154"/>
        <v>1.2499538852834659E-3</v>
      </c>
      <c r="AC218" s="171" t="str">
        <f t="shared" si="155"/>
        <v>3,64508698004657-20,917042331774i</v>
      </c>
      <c r="AD218" s="190">
        <f t="shared" si="156"/>
        <v>26.539928850782019</v>
      </c>
      <c r="AE218" s="169">
        <f t="shared" si="157"/>
        <v>-80.114677511632635</v>
      </c>
      <c r="AF218" s="98" t="str">
        <f t="shared" si="143"/>
        <v>-0,0000375877424711299</v>
      </c>
      <c r="AG218" s="98" t="str">
        <f t="shared" si="144"/>
        <v>6,36486671617292E-06i</v>
      </c>
      <c r="AH218" s="98">
        <f t="shared" si="158"/>
        <v>6.3648667161729199E-6</v>
      </c>
      <c r="AI218" s="98">
        <f t="shared" si="159"/>
        <v>1.5707963267948966</v>
      </c>
      <c r="AJ218" s="98" t="str">
        <f t="shared" si="145"/>
        <v>1+0,00580558879320837i</v>
      </c>
      <c r="AK218" s="98">
        <f t="shared" si="160"/>
        <v>1.0000168522886181</v>
      </c>
      <c r="AL218" s="98">
        <f t="shared" si="161"/>
        <v>5.8055235690058328E-3</v>
      </c>
      <c r="AM218" s="98" t="str">
        <f t="shared" si="146"/>
        <v>1+0,45238934211693i</v>
      </c>
      <c r="AN218" s="98">
        <f t="shared" si="162"/>
        <v>1.0975682743506159</v>
      </c>
      <c r="AO218" s="98">
        <f t="shared" si="163"/>
        <v>0.42483912736528934</v>
      </c>
      <c r="AP218" s="168" t="str">
        <f t="shared" si="164"/>
        <v>-2,63721301748669+5,92081404319006i</v>
      </c>
      <c r="AQ218" s="98">
        <f t="shared" si="165"/>
        <v>16.233623104835967</v>
      </c>
      <c r="AR218" s="169">
        <f t="shared" si="166"/>
        <v>114.00885697168421</v>
      </c>
      <c r="AS218" s="168" t="str">
        <f t="shared" si="167"/>
        <v>114,233047146318+76,7445785047835i</v>
      </c>
      <c r="AT218" s="190">
        <f t="shared" si="168"/>
        <v>42.773551955617968</v>
      </c>
      <c r="AU218" s="169">
        <f t="shared" si="169"/>
        <v>33.894179460051681</v>
      </c>
      <c r="AV218" s="225"/>
      <c r="AX218">
        <f t="shared" si="170"/>
        <v>0</v>
      </c>
      <c r="AY218">
        <f t="shared" si="171"/>
        <v>0</v>
      </c>
    </row>
    <row r="219" spans="14:51" x14ac:dyDescent="0.25">
      <c r="N219" s="170">
        <v>1</v>
      </c>
      <c r="O219" s="199">
        <f>10^(3+(N219/100))</f>
        <v>1023.2929922807547</v>
      </c>
      <c r="P219" s="189" t="str">
        <f t="shared" si="138"/>
        <v>120,833333333333</v>
      </c>
      <c r="Q219" s="160" t="str">
        <f t="shared" si="139"/>
        <v>1+5,73300604885081i</v>
      </c>
      <c r="R219" s="160">
        <f t="shared" si="147"/>
        <v>5.8195668529676663</v>
      </c>
      <c r="S219" s="160">
        <f t="shared" si="148"/>
        <v>1.3981051719977375</v>
      </c>
      <c r="T219" s="160" t="str">
        <f t="shared" si="140"/>
        <v>1+0,000385772369642295i</v>
      </c>
      <c r="U219" s="160">
        <f t="shared" si="149"/>
        <v>1.0000000744101578</v>
      </c>
      <c r="V219" s="160">
        <f t="shared" si="150"/>
        <v>3.8577235050537407E-4</v>
      </c>
      <c r="W219" s="98" t="str">
        <f t="shared" si="141"/>
        <v>1-0,00330221148413805i</v>
      </c>
      <c r="X219" s="160">
        <f t="shared" si="151"/>
        <v>1.0000054522854793</v>
      </c>
      <c r="Y219" s="160">
        <f t="shared" si="152"/>
        <v>-3.3021994811173777E-3</v>
      </c>
      <c r="Z219" s="98" t="str">
        <f t="shared" si="142"/>
        <v>0,999999134604506+0,00127906866053532i</v>
      </c>
      <c r="AA219" s="160">
        <f t="shared" si="153"/>
        <v>0.99999995261319852</v>
      </c>
      <c r="AB219" s="160">
        <f t="shared" si="154"/>
        <v>1.279069069909537E-3</v>
      </c>
      <c r="AC219" s="171" t="str">
        <f t="shared" si="155"/>
        <v>3,48201220386528-20,4693541563798i</v>
      </c>
      <c r="AD219" s="190">
        <f t="shared" si="156"/>
        <v>26.345970308225219</v>
      </c>
      <c r="AE219" s="169">
        <f t="shared" si="157"/>
        <v>-80.345909896135439</v>
      </c>
      <c r="AF219" s="98" t="str">
        <f t="shared" si="143"/>
        <v>-0,0000375877424711299</v>
      </c>
      <c r="AG219" s="98" t="str">
        <f t="shared" si="144"/>
        <v>6,51312350746077E-06i</v>
      </c>
      <c r="AH219" s="98">
        <f t="shared" si="158"/>
        <v>6.51312350746077E-6</v>
      </c>
      <c r="AI219" s="98">
        <f t="shared" si="159"/>
        <v>1.5707963267948966</v>
      </c>
      <c r="AJ219" s="98" t="str">
        <f t="shared" si="145"/>
        <v>1+0,00594081832815381i</v>
      </c>
      <c r="AK219" s="98">
        <f t="shared" si="160"/>
        <v>1.0000176465055044</v>
      </c>
      <c r="AL219" s="98">
        <f t="shared" si="161"/>
        <v>5.9407484392282302E-3</v>
      </c>
      <c r="AM219" s="98" t="str">
        <f t="shared" si="146"/>
        <v>1+0,462926843570755i</v>
      </c>
      <c r="AN219" s="98">
        <f t="shared" si="162"/>
        <v>1.1019533849026384</v>
      </c>
      <c r="AO219" s="98">
        <f t="shared" si="163"/>
        <v>0.43355173936039532</v>
      </c>
      <c r="AP219" s="168" t="str">
        <f t="shared" si="164"/>
        <v>-2,63720882852404+5,78674497678796i</v>
      </c>
      <c r="AQ219" s="98">
        <f t="shared" si="165"/>
        <v>16.06824977019442</v>
      </c>
      <c r="AR219" s="169">
        <f t="shared" si="166"/>
        <v>114.50030505318983</v>
      </c>
      <c r="AS219" s="168" t="str">
        <f t="shared" si="167"/>
        <v>109,268139017463+74,1314781252218i</v>
      </c>
      <c r="AT219" s="190">
        <f t="shared" si="168"/>
        <v>42.414220078419653</v>
      </c>
      <c r="AU219" s="169">
        <f t="shared" si="169"/>
        <v>34.154395157054289</v>
      </c>
      <c r="AV219" s="225"/>
      <c r="AX219">
        <f t="shared" si="170"/>
        <v>0</v>
      </c>
      <c r="AY219">
        <f t="shared" si="171"/>
        <v>0</v>
      </c>
    </row>
    <row r="220" spans="14:51" x14ac:dyDescent="0.25">
      <c r="N220" s="170">
        <v>2</v>
      </c>
      <c r="O220" s="199">
        <f t="shared" ref="O220:O283" si="172">10^(3+(N220/100))</f>
        <v>1047.1285480509</v>
      </c>
      <c r="P220" s="189" t="str">
        <f t="shared" si="138"/>
        <v>120,833333333333</v>
      </c>
      <c r="Q220" s="160" t="str">
        <f t="shared" si="139"/>
        <v>1+5,86654491449221i</v>
      </c>
      <c r="R220" s="160">
        <f t="shared" si="147"/>
        <v>5.9511636873601805</v>
      </c>
      <c r="S220" s="160">
        <f t="shared" si="148"/>
        <v>1.4019609871138385</v>
      </c>
      <c r="T220" s="160" t="str">
        <f t="shared" si="140"/>
        <v>1+0,000394758162470502i</v>
      </c>
      <c r="U220" s="160">
        <f t="shared" si="149"/>
        <v>1.0000000779170004</v>
      </c>
      <c r="V220" s="160">
        <f t="shared" si="150"/>
        <v>3.9475814196492185E-4</v>
      </c>
      <c r="W220" s="98" t="str">
        <f t="shared" si="141"/>
        <v>1-0,0033791298707475i</v>
      </c>
      <c r="X220" s="160">
        <f t="shared" si="151"/>
        <v>1.0000057092430441</v>
      </c>
      <c r="Y220" s="160">
        <f t="shared" si="152"/>
        <v>-3.3791170092830943E-3</v>
      </c>
      <c r="Z220" s="98" t="str">
        <f t="shared" si="142"/>
        <v>0,999999093819673+0,00130886199697173i</v>
      </c>
      <c r="AA220" s="160">
        <f t="shared" si="153"/>
        <v>0.99999995037994582</v>
      </c>
      <c r="AB220" s="160">
        <f t="shared" si="154"/>
        <v>1.3088624356240978E-3</v>
      </c>
      <c r="AC220" s="171" t="str">
        <f t="shared" si="155"/>
        <v>3,32585276113979-20,03003027727i</v>
      </c>
      <c r="AD220" s="190">
        <f t="shared" si="156"/>
        <v>26.151747906377146</v>
      </c>
      <c r="AE220" s="169">
        <f t="shared" si="157"/>
        <v>-80.572431064791985</v>
      </c>
      <c r="AF220" s="98" t="str">
        <f t="shared" si="143"/>
        <v>-0,0000375877424711299</v>
      </c>
      <c r="AG220" s="98" t="str">
        <f t="shared" si="144"/>
        <v>6,66483364304365E-06i</v>
      </c>
      <c r="AH220" s="98">
        <f t="shared" si="158"/>
        <v>6.6648336430436496E-6</v>
      </c>
      <c r="AI220" s="98">
        <f t="shared" si="159"/>
        <v>1.5707963267948966</v>
      </c>
      <c r="AJ220" s="98" t="str">
        <f t="shared" si="145"/>
        <v>1+0,00607919776361286i</v>
      </c>
      <c r="AK220" s="98">
        <f t="shared" si="160"/>
        <v>1.0000184781520036</v>
      </c>
      <c r="AL220" s="98">
        <f t="shared" si="161"/>
        <v>6.079122876354614E-3</v>
      </c>
      <c r="AM220" s="98" t="str">
        <f t="shared" si="146"/>
        <v>1+0,473709794964603i</v>
      </c>
      <c r="AN220" s="98">
        <f t="shared" si="162"/>
        <v>1.106526533728589</v>
      </c>
      <c r="AO220" s="98">
        <f t="shared" si="163"/>
        <v>0.44239511865729475</v>
      </c>
      <c r="AP220" s="168" t="str">
        <f t="shared" si="164"/>
        <v>-2,63720444215594+5,65574411682297i</v>
      </c>
      <c r="AQ220" s="98">
        <f t="shared" si="165"/>
        <v>15.904214730534576</v>
      </c>
      <c r="AR220" s="169">
        <f t="shared" si="166"/>
        <v>114.99906509229574</v>
      </c>
      <c r="AS220" s="168" t="str">
        <f t="shared" si="167"/>
        <v>104,513772224821+71,6334570109702i</v>
      </c>
      <c r="AT220" s="190">
        <f t="shared" si="168"/>
        <v>42.055962636911701</v>
      </c>
      <c r="AU220" s="169">
        <f t="shared" si="169"/>
        <v>34.426634027503816</v>
      </c>
      <c r="AV220" s="225"/>
      <c r="AX220">
        <f t="shared" si="170"/>
        <v>0</v>
      </c>
      <c r="AY220">
        <f t="shared" si="171"/>
        <v>0</v>
      </c>
    </row>
    <row r="221" spans="14:51" x14ac:dyDescent="0.25">
      <c r="N221" s="170">
        <v>3</v>
      </c>
      <c r="O221" s="199">
        <f t="shared" si="172"/>
        <v>1071.5193052376069</v>
      </c>
      <c r="P221" s="189" t="str">
        <f t="shared" si="138"/>
        <v>120,833333333333</v>
      </c>
      <c r="Q221" s="160" t="str">
        <f t="shared" si="139"/>
        <v>1+6,00319429990017i</v>
      </c>
      <c r="R221" s="160">
        <f t="shared" si="147"/>
        <v>6.0859133909672014</v>
      </c>
      <c r="S221" s="160">
        <f t="shared" si="148"/>
        <v>1.405733937113212</v>
      </c>
      <c r="T221" s="160" t="str">
        <f t="shared" si="140"/>
        <v>1+0,000403953261301692i</v>
      </c>
      <c r="U221" s="160">
        <f t="shared" si="149"/>
        <v>1.0000000815891155</v>
      </c>
      <c r="V221" s="160">
        <f t="shared" si="150"/>
        <v>4.039532393295671E-4</v>
      </c>
      <c r="W221" s="98" t="str">
        <f t="shared" si="141"/>
        <v>1-0,00345783991674248i</v>
      </c>
      <c r="X221" s="160">
        <f t="shared" si="151"/>
        <v>1.0000059783105748</v>
      </c>
      <c r="Y221" s="160">
        <f t="shared" si="152"/>
        <v>-3.4578261354395253E-3</v>
      </c>
      <c r="Z221" s="98" t="str">
        <f t="shared" si="142"/>
        <v>0,999999051112709+0,00133934930936376i</v>
      </c>
      <c r="AA221" s="160">
        <f t="shared" si="153"/>
        <v>0.9999999480414441</v>
      </c>
      <c r="AB221" s="160">
        <f t="shared" si="154"/>
        <v>1.339349779388232E-3</v>
      </c>
      <c r="AC221" s="171" t="str">
        <f t="shared" si="155"/>
        <v>3,17633319151573-19,5989945867086i</v>
      </c>
      <c r="AD221" s="190">
        <f t="shared" si="156"/>
        <v>25.95727285866079</v>
      </c>
      <c r="AE221" s="169">
        <f t="shared" si="157"/>
        <v>-80.794334832662912</v>
      </c>
      <c r="AF221" s="98" t="str">
        <f t="shared" si="143"/>
        <v>-0,0000375877424711299</v>
      </c>
      <c r="AG221" s="98" t="str">
        <f t="shared" si="144"/>
        <v>6,82007756164358E-06i</v>
      </c>
      <c r="AH221" s="98">
        <f t="shared" si="158"/>
        <v>6.8200775616435802E-6</v>
      </c>
      <c r="AI221" s="98">
        <f t="shared" si="159"/>
        <v>1.5707963267948966</v>
      </c>
      <c r="AJ221" s="98" t="str">
        <f t="shared" si="145"/>
        <v>1+0,00622080047019387i</v>
      </c>
      <c r="AK221" s="98">
        <f t="shared" si="160"/>
        <v>1.0000193489920532</v>
      </c>
      <c r="AL221" s="98">
        <f t="shared" si="161"/>
        <v>6.220720227134797E-3</v>
      </c>
      <c r="AM221" s="98" t="str">
        <f t="shared" si="146"/>
        <v>1+0,484743913562031i</v>
      </c>
      <c r="AN221" s="98">
        <f t="shared" si="162"/>
        <v>1.1112950381133868</v>
      </c>
      <c r="AO221" s="98">
        <f t="shared" si="163"/>
        <v>0.45136842032156327</v>
      </c>
      <c r="AP221" s="168" t="str">
        <f t="shared" si="164"/>
        <v>-2,63719984908032+5,52774200473737i</v>
      </c>
      <c r="AQ221" s="98">
        <f t="shared" si="165"/>
        <v>15.74155802226727</v>
      </c>
      <c r="AR221" s="169">
        <f t="shared" si="166"/>
        <v>115.5050844753661</v>
      </c>
      <c r="AS221" s="168" t="str">
        <f t="shared" si="167"/>
        <v>99,9615602142754+69,2444159699769i</v>
      </c>
      <c r="AT221" s="190">
        <f t="shared" si="168"/>
        <v>41.698830880928064</v>
      </c>
      <c r="AU221" s="169">
        <f t="shared" si="169"/>
        <v>34.710749642703156</v>
      </c>
      <c r="AV221" s="225"/>
      <c r="AX221">
        <f t="shared" si="170"/>
        <v>0</v>
      </c>
      <c r="AY221">
        <f t="shared" si="171"/>
        <v>0</v>
      </c>
    </row>
    <row r="222" spans="14:51" x14ac:dyDescent="0.25">
      <c r="N222" s="170">
        <v>4</v>
      </c>
      <c r="O222" s="199">
        <f t="shared" si="172"/>
        <v>1096.4781961431863</v>
      </c>
      <c r="P222" s="189" t="str">
        <f t="shared" si="138"/>
        <v>120,833333333333</v>
      </c>
      <c r="Q222" s="160" t="str">
        <f t="shared" si="139"/>
        <v>1+6,14302665838762i</v>
      </c>
      <c r="R222" s="160">
        <f t="shared" si="147"/>
        <v>6.2238875733468193</v>
      </c>
      <c r="S222" s="160">
        <f t="shared" si="148"/>
        <v>1.4094255925795272</v>
      </c>
      <c r="T222" s="160" t="str">
        <f t="shared" si="140"/>
        <v>1+0,000413362541498978i</v>
      </c>
      <c r="U222" s="160">
        <f t="shared" si="149"/>
        <v>1.0000000854342916</v>
      </c>
      <c r="V222" s="160">
        <f t="shared" si="150"/>
        <v>4.1336251795542211E-4</v>
      </c>
      <c r="W222" s="98" t="str">
        <f t="shared" si="141"/>
        <v>1-0,00353838335523125i</v>
      </c>
      <c r="X222" s="160">
        <f t="shared" si="151"/>
        <v>1.0000062600587902</v>
      </c>
      <c r="Y222" s="160">
        <f t="shared" si="152"/>
        <v>-3.5383685883040757E-3</v>
      </c>
      <c r="Z222" s="98" t="str">
        <f t="shared" si="142"/>
        <v>0,999999006393029+0,001370546762488i</v>
      </c>
      <c r="AA222" s="160">
        <f t="shared" si="153"/>
        <v>0.99999994559273531</v>
      </c>
      <c r="AB222" s="160">
        <f t="shared" si="154"/>
        <v>1.3705472661282849E-3</v>
      </c>
      <c r="AC222" s="171" t="str">
        <f t="shared" si="155"/>
        <v>3,0331874767289-19,1761658710338i</v>
      </c>
      <c r="AD222" s="190">
        <f t="shared" si="156"/>
        <v>25.762555930960161</v>
      </c>
      <c r="AE222" s="169">
        <f t="shared" si="157"/>
        <v>-81.011714225288102</v>
      </c>
      <c r="AF222" s="98" t="str">
        <f t="shared" si="143"/>
        <v>-0,0000375877424711299</v>
      </c>
      <c r="AG222" s="98" t="str">
        <f t="shared" si="144"/>
        <v>6,97893757564109E-06i</v>
      </c>
      <c r="AH222" s="98">
        <f t="shared" si="158"/>
        <v>6.9789375756410903E-6</v>
      </c>
      <c r="AI222" s="98">
        <f t="shared" si="159"/>
        <v>1.5707963267948966</v>
      </c>
      <c r="AJ222" s="98" t="str">
        <f t="shared" si="145"/>
        <v>1+0,00636570152752621i</v>
      </c>
      <c r="AK222" s="98">
        <f t="shared" si="160"/>
        <v>1.0000202608727173</v>
      </c>
      <c r="AL222" s="98">
        <f t="shared" si="161"/>
        <v>6.3656155456333864E-3</v>
      </c>
      <c r="AM222" s="98" t="str">
        <f t="shared" si="146"/>
        <v>1+0,496035049798774i</v>
      </c>
      <c r="AN222" s="98">
        <f t="shared" si="162"/>
        <v>1.1162664424898172</v>
      </c>
      <c r="AO222" s="98">
        <f t="shared" si="163"/>
        <v>0.46047062087174323</v>
      </c>
      <c r="AP222" s="168" t="str">
        <f t="shared" si="164"/>
        <v>-2,63719503955686+5,40267077193723i</v>
      </c>
      <c r="AQ222" s="98">
        <f t="shared" si="165"/>
        <v>15.580319978162278</v>
      </c>
      <c r="AR222" s="169">
        <f t="shared" si="166"/>
        <v>116.01830026095182</v>
      </c>
      <c r="AS222" s="168" t="str">
        <f t="shared" si="167"/>
        <v>95,6034039015791+66,9586028391392i</v>
      </c>
      <c r="AT222" s="190">
        <f t="shared" si="168"/>
        <v>41.342875909122441</v>
      </c>
      <c r="AU222" s="169">
        <f t="shared" si="169"/>
        <v>35.006586035663744</v>
      </c>
      <c r="AV222" s="225"/>
      <c r="AX222">
        <f t="shared" si="170"/>
        <v>0</v>
      </c>
      <c r="AY222">
        <f t="shared" si="171"/>
        <v>0</v>
      </c>
    </row>
    <row r="223" spans="14:51" x14ac:dyDescent="0.25">
      <c r="N223" s="170">
        <v>5</v>
      </c>
      <c r="O223" s="199">
        <f t="shared" si="172"/>
        <v>1122.0184543019636</v>
      </c>
      <c r="P223" s="189" t="str">
        <f t="shared" si="138"/>
        <v>120,833333333333</v>
      </c>
      <c r="Q223" s="160" t="str">
        <f t="shared" si="139"/>
        <v>1+6,28611613092191i</v>
      </c>
      <c r="R223" s="160">
        <f t="shared" si="147"/>
        <v>6.3651595432822141</v>
      </c>
      <c r="S223" s="160">
        <f t="shared" si="148"/>
        <v>1.4130375081850972</v>
      </c>
      <c r="T223" s="160" t="str">
        <f t="shared" si="140"/>
        <v>1+0,000422990991987266i</v>
      </c>
      <c r="U223" s="160">
        <f t="shared" si="149"/>
        <v>1.0000000894606855</v>
      </c>
      <c r="V223" s="160">
        <f t="shared" si="150"/>
        <v>4.2299096675989147E-4</v>
      </c>
      <c r="W223" s="98" t="str">
        <f t="shared" si="141"/>
        <v>1-0,003620802891411i</v>
      </c>
      <c r="X223" s="160">
        <f t="shared" si="151"/>
        <v>1.0000065550853048</v>
      </c>
      <c r="Y223" s="160">
        <f t="shared" si="152"/>
        <v>-3.6207870683690551E-3</v>
      </c>
      <c r="Z223" s="98" t="str">
        <f t="shared" si="142"/>
        <v>0,999998959565775+0,00140247089764705i</v>
      </c>
      <c r="AA223" s="160">
        <f t="shared" si="153"/>
        <v>0.99999994302862416</v>
      </c>
      <c r="AB223" s="160">
        <f t="shared" si="154"/>
        <v>1.4024714373073264E-3</v>
      </c>
      <c r="AC223" s="171" t="str">
        <f t="shared" si="155"/>
        <v>2,89615885199396-18,7614583027358i</v>
      </c>
      <c r="AD223" s="190">
        <f t="shared" si="156"/>
        <v>25.567607457092997</v>
      </c>
      <c r="AE223" s="169">
        <f t="shared" si="157"/>
        <v>-81.224661427299509</v>
      </c>
      <c r="AF223" s="98" t="str">
        <f t="shared" si="143"/>
        <v>-0,0000375877424711299</v>
      </c>
      <c r="AG223" s="98" t="str">
        <f t="shared" si="144"/>
        <v>7,14149791471836E-06i</v>
      </c>
      <c r="AH223" s="98">
        <f t="shared" si="158"/>
        <v>7.1414979147183602E-6</v>
      </c>
      <c r="AI223" s="98">
        <f t="shared" si="159"/>
        <v>1.5707963267948966</v>
      </c>
      <c r="AJ223" s="98" t="str">
        <f t="shared" si="145"/>
        <v>1+0,00651397776406846i</v>
      </c>
      <c r="AK223" s="98">
        <f t="shared" si="160"/>
        <v>1.0000212157281019</v>
      </c>
      <c r="AL223" s="98">
        <f t="shared" si="161"/>
        <v>6.5138856329159641E-3</v>
      </c>
      <c r="AM223" s="98" t="str">
        <f t="shared" si="146"/>
        <v>1+0,50758919038472i</v>
      </c>
      <c r="AN223" s="98">
        <f t="shared" si="162"/>
        <v>1.1214485214201388</v>
      </c>
      <c r="AO223" s="98">
        <f t="shared" si="163"/>
        <v>0.46970051250689066</v>
      </c>
      <c r="AP223" s="168" t="str">
        <f t="shared" si="164"/>
        <v>-2,63719000338634+5,28046410380671i</v>
      </c>
      <c r="AQ223" s="98">
        <f t="shared" si="165"/>
        <v>15.420541156928047</v>
      </c>
      <c r="AR223" s="169">
        <f t="shared" si="166"/>
        <v>116.53863884677965</v>
      </c>
      <c r="AS223" s="168" t="str">
        <f t="shared" si="167"/>
        <v>91,4314859299654+64,7705931418007i</v>
      </c>
      <c r="AT223" s="190">
        <f t="shared" si="168"/>
        <v>40.988148614021043</v>
      </c>
      <c r="AU223" s="169">
        <f t="shared" si="169"/>
        <v>35.313977419480167</v>
      </c>
      <c r="AV223" s="225"/>
      <c r="AX223">
        <f t="shared" si="170"/>
        <v>0</v>
      </c>
      <c r="AY223">
        <f t="shared" si="171"/>
        <v>0</v>
      </c>
    </row>
    <row r="224" spans="14:51" x14ac:dyDescent="0.25">
      <c r="N224" s="170">
        <v>6</v>
      </c>
      <c r="O224" s="199">
        <f t="shared" si="172"/>
        <v>1148.1536214968839</v>
      </c>
      <c r="P224" s="189" t="str">
        <f t="shared" si="138"/>
        <v>120,833333333333</v>
      </c>
      <c r="Q224" s="160" t="str">
        <f t="shared" si="139"/>
        <v>1+6,43253858543539i</v>
      </c>
      <c r="R224" s="160">
        <f t="shared" si="147"/>
        <v>6.5098043482976617</v>
      </c>
      <c r="S224" s="160">
        <f t="shared" si="148"/>
        <v>1.4165712218569173</v>
      </c>
      <c r="T224" s="160" t="str">
        <f t="shared" si="140"/>
        <v>1+0,000432843717898454i</v>
      </c>
      <c r="U224" s="160">
        <f t="shared" si="149"/>
        <v>1.0000000936768376</v>
      </c>
      <c r="V224" s="160">
        <f t="shared" si="150"/>
        <v>4.3284369086683529E-4</v>
      </c>
      <c r="W224" s="98" t="str">
        <f t="shared" si="141"/>
        <v>1-0,00370514222521077i</v>
      </c>
      <c r="X224" s="160">
        <f t="shared" si="151"/>
        <v>1.0000068640158972</v>
      </c>
      <c r="Y224" s="160">
        <f t="shared" si="152"/>
        <v>-3.7051252705221438E-3</v>
      </c>
      <c r="Z224" s="98" t="str">
        <f t="shared" si="142"/>
        <v>0,999998910531621+0,00143513864143992i</v>
      </c>
      <c r="AA224" s="160">
        <f t="shared" si="153"/>
        <v>0.99999994034367268</v>
      </c>
      <c r="AB224" s="160">
        <f t="shared" si="154"/>
        <v>1.43513921969631E-3</v>
      </c>
      <c r="AC224" s="171" t="str">
        <f t="shared" si="155"/>
        <v>2,76499960795986-18,3547819042545i</v>
      </c>
      <c r="AD224" s="190">
        <f t="shared" si="156"/>
        <v>25.372437353964649</v>
      </c>
      <c r="AE224" s="169">
        <f t="shared" si="157"/>
        <v>-81.43326773628651</v>
      </c>
      <c r="AF224" s="98" t="str">
        <f t="shared" si="143"/>
        <v>-0,0000375877424711299</v>
      </c>
      <c r="AG224" s="98" t="str">
        <f t="shared" si="144"/>
        <v>7,30784477051892E-06i</v>
      </c>
      <c r="AH224" s="98">
        <f t="shared" si="158"/>
        <v>7.3078447705189196E-6</v>
      </c>
      <c r="AI224" s="98">
        <f t="shared" si="159"/>
        <v>1.5707963267948966</v>
      </c>
      <c r="AJ224" s="98" t="str">
        <f t="shared" si="145"/>
        <v>1+0,00666570779784391i</v>
      </c>
      <c r="AK224" s="98">
        <f t="shared" si="160"/>
        <v>1.0000222155834571</v>
      </c>
      <c r="AL224" s="98">
        <f t="shared" si="161"/>
        <v>6.665609077653842E-3</v>
      </c>
      <c r="AM224" s="98" t="str">
        <f t="shared" si="146"/>
        <v>1+0,519412461478146i</v>
      </c>
      <c r="AN224" s="98">
        <f t="shared" si="162"/>
        <v>1.1268492823526963</v>
      </c>
      <c r="AO224" s="98">
        <f t="shared" si="163"/>
        <v>0.47905669768232195</v>
      </c>
      <c r="AP224" s="168" t="str">
        <f t="shared" si="164"/>
        <v>-2,63718472988903+5,16105720454645i</v>
      </c>
      <c r="AQ224" s="98">
        <f t="shared" si="165"/>
        <v>15.262262267862996</v>
      </c>
      <c r="AR224" s="169">
        <f t="shared" si="166"/>
        <v>117.06601565663789</v>
      </c>
      <c r="AS224" s="168" t="str">
        <f t="shared" si="167"/>
        <v>87,4382646405706+62,6752717055728i</v>
      </c>
      <c r="AT224" s="190">
        <f t="shared" si="168"/>
        <v>40.634699621827643</v>
      </c>
      <c r="AU224" s="169">
        <f t="shared" si="169"/>
        <v>35.632747920351399</v>
      </c>
      <c r="AV224" s="225"/>
      <c r="AX224">
        <f t="shared" si="170"/>
        <v>0</v>
      </c>
      <c r="AY224">
        <f t="shared" si="171"/>
        <v>0</v>
      </c>
    </row>
    <row r="225" spans="14:51" x14ac:dyDescent="0.25">
      <c r="N225" s="170">
        <v>7</v>
      </c>
      <c r="O225" s="199">
        <f t="shared" si="172"/>
        <v>1174.8975549395295</v>
      </c>
      <c r="P225" s="189" t="str">
        <f t="shared" si="138"/>
        <v>120,833333333333</v>
      </c>
      <c r="Q225" s="160" t="str">
        <f t="shared" si="139"/>
        <v>1+6,58237165705159i</v>
      </c>
      <c r="R225" s="160">
        <f t="shared" si="147"/>
        <v>6.6578988150584033</v>
      </c>
      <c r="S225" s="160">
        <f t="shared" si="148"/>
        <v>1.4200282540284055</v>
      </c>
      <c r="T225" s="160" t="str">
        <f t="shared" si="140"/>
        <v>1+0,000442925943278235i</v>
      </c>
      <c r="U225" s="160">
        <f t="shared" si="149"/>
        <v>1.0000000980916908</v>
      </c>
      <c r="V225" s="160">
        <f t="shared" si="150"/>
        <v>4.4292591431333386E-4</v>
      </c>
      <c r="W225" s="98" t="str">
        <f t="shared" si="141"/>
        <v>1-0,0037914460744617i</v>
      </c>
      <c r="X225" s="160">
        <f t="shared" si="151"/>
        <v>1.0000071875058376</v>
      </c>
      <c r="Y225" s="160">
        <f t="shared" si="152"/>
        <v>-3.791427907192575E-3</v>
      </c>
      <c r="Z225" s="98" t="str">
        <f t="shared" si="142"/>
        <v>0,999998859186558+0,00146856731473679i</v>
      </c>
      <c r="AA225" s="160">
        <f t="shared" si="153"/>
        <v>0.99999993753218575</v>
      </c>
      <c r="AB225" s="160">
        <f t="shared" si="154"/>
        <v>1.4685679343496606E-3</v>
      </c>
      <c r="AC225" s="171" t="str">
        <f t="shared" si="155"/>
        <v>2,63947088489277-17,9560429845128i</v>
      </c>
      <c r="AD225" s="190">
        <f t="shared" si="156"/>
        <v>25.177055136387601</v>
      </c>
      <c r="AE225" s="169">
        <f t="shared" si="157"/>
        <v>-81.637623521608376</v>
      </c>
      <c r="AF225" s="98" t="str">
        <f t="shared" si="143"/>
        <v>-0,0000375877424711299</v>
      </c>
      <c r="AG225" s="98" t="str">
        <f t="shared" si="144"/>
        <v>7,47806634234756E-06i</v>
      </c>
      <c r="AH225" s="98">
        <f t="shared" si="158"/>
        <v>7.4780663423475602E-6</v>
      </c>
      <c r="AI225" s="98">
        <f t="shared" si="159"/>
        <v>1.5707963267948966</v>
      </c>
      <c r="AJ225" s="98" t="str">
        <f t="shared" si="145"/>
        <v>1+0,00682097207812484i</v>
      </c>
      <c r="AK225" s="98">
        <f t="shared" si="160"/>
        <v>1.000023262559472</v>
      </c>
      <c r="AL225" s="98">
        <f t="shared" si="161"/>
        <v>6.8208662976682625E-3</v>
      </c>
      <c r="AM225" s="98" t="str">
        <f t="shared" si="146"/>
        <v>1+0,531511131933883i</v>
      </c>
      <c r="AN225" s="98">
        <f t="shared" si="162"/>
        <v>1.1324769681409144</v>
      </c>
      <c r="AO225" s="98">
        <f t="shared" si="163"/>
        <v>0.48853758408713877</v>
      </c>
      <c r="AP225" s="168" t="str">
        <f t="shared" si="164"/>
        <v>-2,63717920788206+5,04438676281667i</v>
      </c>
      <c r="AQ225" s="98">
        <f t="shared" si="165"/>
        <v>15.105524090654047</v>
      </c>
      <c r="AR225" s="169">
        <f t="shared" si="166"/>
        <v>117.60033485023118</v>
      </c>
      <c r="AS225" s="168" t="str">
        <f t="shared" si="167"/>
        <v>83,6164678061942+60,6678152071868i</v>
      </c>
      <c r="AT225" s="190">
        <f t="shared" si="168"/>
        <v>40.282579227041644</v>
      </c>
      <c r="AU225" s="169">
        <f t="shared" si="169"/>
        <v>35.962711328622824</v>
      </c>
      <c r="AV225" s="225"/>
      <c r="AX225">
        <f t="shared" si="170"/>
        <v>0</v>
      </c>
      <c r="AY225">
        <f t="shared" si="171"/>
        <v>0</v>
      </c>
    </row>
    <row r="226" spans="14:51" x14ac:dyDescent="0.25">
      <c r="N226" s="170">
        <v>8</v>
      </c>
      <c r="O226" s="199">
        <f t="shared" si="172"/>
        <v>1202.2644346174138</v>
      </c>
      <c r="P226" s="189" t="str">
        <f t="shared" si="138"/>
        <v>120,833333333333</v>
      </c>
      <c r="Q226" s="160" t="str">
        <f t="shared" si="139"/>
        <v>1+6,73569478924836i</v>
      </c>
      <c r="R226" s="160">
        <f t="shared" si="147"/>
        <v>6.8095215906778286</v>
      </c>
      <c r="S226" s="160">
        <f t="shared" si="148"/>
        <v>1.4234101069717529</v>
      </c>
      <c r="T226" s="160" t="str">
        <f t="shared" si="140"/>
        <v>1+0,000453243013855962i</v>
      </c>
      <c r="U226" s="160">
        <f t="shared" si="149"/>
        <v>1.0000001027146095</v>
      </c>
      <c r="V226" s="160">
        <f t="shared" si="150"/>
        <v>4.5324298281951145E-4</v>
      </c>
      <c r="W226" s="98" t="str">
        <f t="shared" si="141"/>
        <v>1-0,00387976019860704i</v>
      </c>
      <c r="X226" s="160">
        <f t="shared" si="151"/>
        <v>1.0000075262412771</v>
      </c>
      <c r="Y226" s="160">
        <f t="shared" si="152"/>
        <v>-3.879740732035362E-3</v>
      </c>
      <c r="Z226" s="98" t="str">
        <f t="shared" si="142"/>
        <v>0,999998805421677+0,00150277464186273i</v>
      </c>
      <c r="AA226" s="160">
        <f t="shared" si="153"/>
        <v>0.99999993458820036</v>
      </c>
      <c r="AB226" s="160">
        <f t="shared" si="154"/>
        <v>1.5027753057898655E-3</v>
      </c>
      <c r="AC226" s="171" t="str">
        <f t="shared" si="155"/>
        <v>2,51934246060236-17,5651445492283i</v>
      </c>
      <c r="AD226" s="190">
        <f t="shared" si="156"/>
        <v>24.981469931556628</v>
      </c>
      <c r="AE226" s="169">
        <f t="shared" si="157"/>
        <v>-81.837818187865878</v>
      </c>
      <c r="AF226" s="98" t="str">
        <f t="shared" si="143"/>
        <v>-0,0000375877424711299</v>
      </c>
      <c r="AG226" s="98" t="str">
        <f t="shared" si="144"/>
        <v>7,65225288393483E-06i</v>
      </c>
      <c r="AH226" s="98">
        <f t="shared" si="158"/>
        <v>7.6522528839348303E-6</v>
      </c>
      <c r="AI226" s="98">
        <f t="shared" si="159"/>
        <v>1.5707963267948966</v>
      </c>
      <c r="AJ226" s="98" t="str">
        <f t="shared" si="145"/>
        <v>1+0,00697985292808786i</v>
      </c>
      <c r="AK226" s="98">
        <f t="shared" si="160"/>
        <v>1.0000243588767714</v>
      </c>
      <c r="AL226" s="98">
        <f t="shared" si="161"/>
        <v>6.979739582435634E-3</v>
      </c>
      <c r="AM226" s="98" t="str">
        <f t="shared" si="146"/>
        <v>1+0,543891616627155i</v>
      </c>
      <c r="AN226" s="98">
        <f t="shared" si="162"/>
        <v>1.1383400593132529</v>
      </c>
      <c r="AO226" s="98">
        <f t="shared" si="163"/>
        <v>0.49814138007824221</v>
      </c>
      <c r="AP226" s="168" t="str">
        <f t="shared" si="164"/>
        <v>-2,63717342565571+4,93039091816787i</v>
      </c>
      <c r="AQ226" s="98">
        <f t="shared" si="165"/>
        <v>14.950367390444221</v>
      </c>
      <c r="AR226" s="169">
        <f t="shared" si="166"/>
        <v>118.14148905913159</v>
      </c>
      <c r="AS226" s="168" t="str">
        <f t="shared" si="167"/>
        <v>79,9590861745945+58,7436756105347i</v>
      </c>
      <c r="AT226" s="190">
        <f t="shared" si="168"/>
        <v>39.931837322000852</v>
      </c>
      <c r="AU226" s="169">
        <f t="shared" si="169"/>
        <v>36.303670871265716</v>
      </c>
      <c r="AV226" s="225"/>
      <c r="AX226">
        <f t="shared" si="170"/>
        <v>0</v>
      </c>
      <c r="AY226">
        <f t="shared" si="171"/>
        <v>0</v>
      </c>
    </row>
    <row r="227" spans="14:51" x14ac:dyDescent="0.25">
      <c r="N227" s="170">
        <v>9</v>
      </c>
      <c r="O227" s="199">
        <f t="shared" si="172"/>
        <v>1230.2687708123824</v>
      </c>
      <c r="P227" s="189" t="str">
        <f t="shared" si="138"/>
        <v>120,833333333333</v>
      </c>
      <c r="Q227" s="160" t="str">
        <f t="shared" si="139"/>
        <v>1+6,89258927597983i</v>
      </c>
      <c r="R227" s="160">
        <f t="shared" si="147"/>
        <v>6.9647531849558142</v>
      </c>
      <c r="S227" s="160">
        <f t="shared" si="148"/>
        <v>1.4267182642059935</v>
      </c>
      <c r="T227" s="160" t="str">
        <f t="shared" si="140"/>
        <v>1+0,000463800399879014i</v>
      </c>
      <c r="U227" s="160">
        <f t="shared" si="149"/>
        <v>1.0000001075553997</v>
      </c>
      <c r="V227" s="160">
        <f t="shared" si="150"/>
        <v>4.6380036662285826E-4</v>
      </c>
      <c r="W227" s="98" t="str">
        <f t="shared" si="141"/>
        <v>1-0,00397013142296436i</v>
      </c>
      <c r="X227" s="160">
        <f t="shared" si="151"/>
        <v>1.0000078809407031</v>
      </c>
      <c r="Y227" s="160">
        <f t="shared" si="152"/>
        <v>-3.9701105641658787E-3</v>
      </c>
      <c r="Z227" s="98" t="str">
        <f t="shared" si="142"/>
        <v>0,999998749122935+0,00153777875999535i</v>
      </c>
      <c r="AA227" s="160">
        <f t="shared" si="153"/>
        <v>0.99999993150547217</v>
      </c>
      <c r="AB227" s="160">
        <f t="shared" si="154"/>
        <v>1.5377794714060741E-3</v>
      </c>
      <c r="AC227" s="171" t="str">
        <f t="shared" si="155"/>
        <v>2,4043925334917-17,1819866860505i</v>
      </c>
      <c r="AD227" s="190">
        <f t="shared" si="156"/>
        <v>24.785690493168516</v>
      </c>
      <c r="AE227" s="169">
        <f t="shared" si="157"/>
        <v>-82.033940142750453</v>
      </c>
      <c r="AF227" s="98" t="str">
        <f t="shared" si="143"/>
        <v>-0,0000375877424711299</v>
      </c>
      <c r="AG227" s="98" t="str">
        <f t="shared" si="144"/>
        <v>7,83049675129071E-06i</v>
      </c>
      <c r="AH227" s="98">
        <f t="shared" si="158"/>
        <v>7.8304967512907106E-6</v>
      </c>
      <c r="AI227" s="98">
        <f t="shared" si="159"/>
        <v>1.5707963267948966</v>
      </c>
      <c r="AJ227" s="98" t="str">
        <f t="shared" si="145"/>
        <v>1+0,0071424345884626i</v>
      </c>
      <c r="AK227" s="98">
        <f t="shared" si="160"/>
        <v>1.0000255068606252</v>
      </c>
      <c r="AL227" s="98">
        <f t="shared" si="161"/>
        <v>7.1423131365753829E-3</v>
      </c>
      <c r="AM227" s="98" t="str">
        <f t="shared" si="146"/>
        <v>1+0,556560479854818i</v>
      </c>
      <c r="AN227" s="98">
        <f t="shared" si="162"/>
        <v>1.1444472760840603</v>
      </c>
      <c r="AO227" s="98">
        <f t="shared" si="163"/>
        <v>0.50786609062612198</v>
      </c>
      <c r="AP227" s="168" t="str">
        <f t="shared" si="164"/>
        <v>-2,63716737094859+4,8190092282404i</v>
      </c>
      <c r="AQ227" s="98">
        <f t="shared" si="165"/>
        <v>14.796832828335356</v>
      </c>
      <c r="AR227" s="169">
        <f t="shared" si="166"/>
        <v>118.68935915199874</v>
      </c>
      <c r="AS227" s="168" t="str">
        <f t="shared" si="167"/>
        <v>76,4593668633043+56,8985644637343i</v>
      </c>
      <c r="AT227" s="190">
        <f t="shared" si="168"/>
        <v>39.582523321503871</v>
      </c>
      <c r="AU227" s="169">
        <f t="shared" si="169"/>
        <v>36.655419009248305</v>
      </c>
      <c r="AV227" s="225"/>
      <c r="AX227">
        <f t="shared" si="170"/>
        <v>0</v>
      </c>
      <c r="AY227">
        <f t="shared" si="171"/>
        <v>0</v>
      </c>
    </row>
    <row r="228" spans="14:51" x14ac:dyDescent="0.25">
      <c r="N228" s="170">
        <v>10</v>
      </c>
      <c r="O228" s="199">
        <f t="shared" si="172"/>
        <v>1258.925411794168</v>
      </c>
      <c r="P228" s="189" t="str">
        <f t="shared" si="138"/>
        <v>120,833333333333</v>
      </c>
      <c r="Q228" s="160" t="str">
        <f t="shared" si="139"/>
        <v>1+7,05313830477964i</v>
      </c>
      <c r="R228" s="160">
        <f t="shared" si="147"/>
        <v>7.1236760135726147</v>
      </c>
      <c r="S228" s="160">
        <f t="shared" si="148"/>
        <v>1.4299541899761004</v>
      </c>
      <c r="T228" s="160" t="str">
        <f t="shared" si="140"/>
        <v>1+0,000474603699013207i</v>
      </c>
      <c r="U228" s="160">
        <f t="shared" si="149"/>
        <v>1.0000001126243292</v>
      </c>
      <c r="V228" s="160">
        <f t="shared" si="150"/>
        <v>4.7460366337859433E-4</v>
      </c>
      <c r="W228" s="98" t="str">
        <f t="shared" si="141"/>
        <v>1-0,00406260766355305i</v>
      </c>
      <c r="X228" s="160">
        <f t="shared" si="151"/>
        <v>1.0000082523564633</v>
      </c>
      <c r="Y228" s="160">
        <f t="shared" si="152"/>
        <v>-4.0625853129577548E-3</v>
      </c>
      <c r="Z228" s="98" t="str">
        <f t="shared" si="142"/>
        <v>0,999998690170915+0,00157359822878143i</v>
      </c>
      <c r="AA228" s="160">
        <f t="shared" si="153"/>
        <v>0.99999992827746309</v>
      </c>
      <c r="AB228" s="160">
        <f t="shared" si="154"/>
        <v>1.5735989910717336E-3</v>
      </c>
      <c r="AC228" s="171" t="str">
        <f t="shared" si="155"/>
        <v>2,29440750198344-16,806466925582i</v>
      </c>
      <c r="AD228" s="190">
        <f t="shared" si="156"/>
        <v>24.589725215181414</v>
      </c>
      <c r="AE228" s="169">
        <f t="shared" si="157"/>
        <v>-82.226076769004635</v>
      </c>
      <c r="AF228" s="98" t="str">
        <f t="shared" si="143"/>
        <v>-0,0000375877424711299</v>
      </c>
      <c r="AG228" s="98" t="str">
        <f t="shared" si="144"/>
        <v>8,01289245167299E-06i</v>
      </c>
      <c r="AH228" s="98">
        <f t="shared" si="158"/>
        <v>8.0128924516729895E-6</v>
      </c>
      <c r="AI228" s="98">
        <f t="shared" si="159"/>
        <v>1.5707963267948966</v>
      </c>
      <c r="AJ228" s="98" t="str">
        <f t="shared" si="145"/>
        <v>1+0,00730880326219746i</v>
      </c>
      <c r="AK228" s="98">
        <f t="shared" si="160"/>
        <v>1.000026708945879</v>
      </c>
      <c r="AL228" s="98">
        <f t="shared" si="161"/>
        <v>7.3086731243433697E-3</v>
      </c>
      <c r="AM228" s="98" t="str">
        <f t="shared" si="146"/>
        <v>1+0,569524438815849i</v>
      </c>
      <c r="AN228" s="98">
        <f t="shared" si="162"/>
        <v>1.1508075800969109</v>
      </c>
      <c r="AO228" s="98">
        <f t="shared" si="163"/>
        <v>0.51770951382786623</v>
      </c>
      <c r="AP228" s="168" t="str">
        <f t="shared" si="164"/>
        <v>-2,63716103092172+4,71018263671585i</v>
      </c>
      <c r="AQ228" s="98">
        <f t="shared" si="165"/>
        <v>14.644960867542508</v>
      </c>
      <c r="AR228" s="169">
        <f t="shared" si="166"/>
        <v>119.24381403224073</v>
      </c>
      <c r="AS228" s="168" t="str">
        <f t="shared" si="167"/>
        <v>73,1108066441304+55,1284380210126i</v>
      </c>
      <c r="AT228" s="190">
        <f t="shared" si="168"/>
        <v>39.234686082723925</v>
      </c>
      <c r="AU228" s="169">
        <f t="shared" si="169"/>
        <v>37.0177372632361</v>
      </c>
      <c r="AV228" s="225"/>
      <c r="AX228">
        <f t="shared" si="170"/>
        <v>0</v>
      </c>
      <c r="AY228">
        <f t="shared" si="171"/>
        <v>0</v>
      </c>
    </row>
    <row r="229" spans="14:51" x14ac:dyDescent="0.25">
      <c r="N229" s="170">
        <v>11</v>
      </c>
      <c r="O229" s="199">
        <f t="shared" si="172"/>
        <v>1288.2495516931347</v>
      </c>
      <c r="P229" s="189" t="str">
        <f t="shared" si="138"/>
        <v>120,833333333333</v>
      </c>
      <c r="Q229" s="160" t="str">
        <f t="shared" si="139"/>
        <v>1+7,21742700086796i</v>
      </c>
      <c r="R229" s="160">
        <f t="shared" si="147"/>
        <v>7.286374442262618</v>
      </c>
      <c r="S229" s="160">
        <f t="shared" si="148"/>
        <v>1.4331193287986113</v>
      </c>
      <c r="T229" s="160" t="str">
        <f t="shared" si="140"/>
        <v>1+0,000485658639310738i</v>
      </c>
      <c r="U229" s="160">
        <f t="shared" si="149"/>
        <v>1.00000011793215</v>
      </c>
      <c r="V229" s="160">
        <f t="shared" si="150"/>
        <v>4.856586011275628E-4</v>
      </c>
      <c r="W229" s="98" t="str">
        <f t="shared" si="141"/>
        <v>1-0,00415723795249992i</v>
      </c>
      <c r="X229" s="160">
        <f t="shared" si="151"/>
        <v>1.0000086412763609</v>
      </c>
      <c r="Y229" s="160">
        <f t="shared" si="152"/>
        <v>-4.1572140034167549E-3</v>
      </c>
      <c r="Z229" s="98" t="str">
        <f t="shared" si="142"/>
        <v>0,999998628440572+0,00161025204017744i</v>
      </c>
      <c r="AA229" s="160">
        <f t="shared" si="153"/>
        <v>0.99999992489732614</v>
      </c>
      <c r="AB229" s="160">
        <f t="shared" si="154"/>
        <v>1.6102528569861927E-3</v>
      </c>
      <c r="AC229" s="171" t="str">
        <f t="shared" si="155"/>
        <v>2,18918174145519-16,4384805793315i</v>
      </c>
      <c r="AD229" s="190">
        <f t="shared" si="156"/>
        <v>24.393582145206786</v>
      </c>
      <c r="AE229" s="169">
        <f t="shared" si="157"/>
        <v>-82.414314400235583</v>
      </c>
      <c r="AF229" s="98" t="str">
        <f t="shared" si="143"/>
        <v>-0,0000375877424711299</v>
      </c>
      <c r="AG229" s="98" t="str">
        <f t="shared" si="144"/>
        <v>8,19953669369632E-06i</v>
      </c>
      <c r="AH229" s="98">
        <f t="shared" si="158"/>
        <v>8.1995366936963196E-6</v>
      </c>
      <c r="AI229" s="98">
        <f t="shared" si="159"/>
        <v>1.5707963267948966</v>
      </c>
      <c r="AJ229" s="98" t="str">
        <f t="shared" si="145"/>
        <v>1+0,00747904716016537i</v>
      </c>
      <c r="AK229" s="98">
        <f t="shared" si="160"/>
        <v>1.0000279676821164</v>
      </c>
      <c r="AL229" s="98">
        <f t="shared" si="161"/>
        <v>7.4789077151529958E-3</v>
      </c>
      <c r="AM229" s="98" t="str">
        <f t="shared" si="146"/>
        <v>1+0,582790367172887i</v>
      </c>
      <c r="AN229" s="98">
        <f t="shared" si="162"/>
        <v>1.1574301758937808</v>
      </c>
      <c r="AO229" s="98">
        <f t="shared" si="163"/>
        <v>0.52766923804227073</v>
      </c>
      <c r="AP229" s="168" t="str">
        <f t="shared" si="164"/>
        <v>-2,63715439213127+4,60385344200326i</v>
      </c>
      <c r="AQ229" s="98">
        <f t="shared" si="165"/>
        <v>14.494791675466924</v>
      </c>
      <c r="AR229" s="169">
        <f t="shared" si="166"/>
        <v>119.80471047126012</v>
      </c>
      <c r="AS229" s="168" t="str">
        <f t="shared" si="167"/>
        <v>69,9071451518069+53,4294831553178i</v>
      </c>
      <c r="AT229" s="190">
        <f t="shared" si="168"/>
        <v>38.888373820673706</v>
      </c>
      <c r="AU229" s="169">
        <f t="shared" si="169"/>
        <v>37.390396071024547</v>
      </c>
      <c r="AV229" s="225"/>
      <c r="AX229">
        <f t="shared" si="170"/>
        <v>0</v>
      </c>
      <c r="AY229">
        <f t="shared" si="171"/>
        <v>0</v>
      </c>
    </row>
    <row r="230" spans="14:51" x14ac:dyDescent="0.25">
      <c r="N230" s="170">
        <v>12</v>
      </c>
      <c r="O230" s="199">
        <f t="shared" si="172"/>
        <v>1318.2567385564089</v>
      </c>
      <c r="P230" s="189" t="str">
        <f t="shared" si="138"/>
        <v>120,833333333333</v>
      </c>
      <c r="Q230" s="160" t="str">
        <f t="shared" si="139"/>
        <v>1+7,38554247228609i</v>
      </c>
      <c r="R230" s="160">
        <f t="shared" si="147"/>
        <v>7.4529348319934838</v>
      </c>
      <c r="S230" s="160">
        <f t="shared" si="148"/>
        <v>1.4362151050694962</v>
      </c>
      <c r="T230" s="160" t="str">
        <f t="shared" si="140"/>
        <v>1+0,000496971082247286i</v>
      </c>
      <c r="U230" s="160">
        <f t="shared" si="149"/>
        <v>1.0000001234901208</v>
      </c>
      <c r="V230" s="160">
        <f t="shared" si="150"/>
        <v>4.9697104133327699E-4</v>
      </c>
      <c r="W230" s="98" t="str">
        <f t="shared" si="141"/>
        <v>1-0,00425407246403677i</v>
      </c>
      <c r="X230" s="160">
        <f t="shared" si="151"/>
        <v>1.0000090485253268</v>
      </c>
      <c r="Y230" s="160">
        <f t="shared" si="152"/>
        <v>-4.2540468021443571E-3</v>
      </c>
      <c r="Z230" s="98" t="str">
        <f t="shared" si="142"/>
        <v>0,999998563800968+0,00164775962851937i</v>
      </c>
      <c r="AA230" s="160">
        <f t="shared" si="153"/>
        <v>0.99999992135789284</v>
      </c>
      <c r="AB230" s="160">
        <f t="shared" si="154"/>
        <v>1.6477605037456895E-3</v>
      </c>
      <c r="AC230" s="171" t="str">
        <f t="shared" si="155"/>
        <v>2,08851737970511-16,0779210556455i</v>
      </c>
      <c r="AD230" s="190">
        <f t="shared" si="156"/>
        <v>24.197268997532852</v>
      </c>
      <c r="AE230" s="169">
        <f t="shared" si="157"/>
        <v>-82.598738300338567</v>
      </c>
      <c r="AF230" s="98" t="str">
        <f t="shared" si="143"/>
        <v>-0,0000375877424711299</v>
      </c>
      <c r="AG230" s="98" t="str">
        <f t="shared" si="144"/>
        <v>8,39052843860836E-06i</v>
      </c>
      <c r="AH230" s="98">
        <f t="shared" si="158"/>
        <v>8.3905284386083598E-6</v>
      </c>
      <c r="AI230" s="98">
        <f t="shared" si="159"/>
        <v>1.5707963267948966</v>
      </c>
      <c r="AJ230" s="98" t="str">
        <f t="shared" si="145"/>
        <v>1+0,0076532565479345i</v>
      </c>
      <c r="AK230" s="98">
        <f t="shared" si="160"/>
        <v>1.0000292857390669</v>
      </c>
      <c r="AL230" s="98">
        <f t="shared" si="161"/>
        <v>7.653107130148047E-3</v>
      </c>
      <c r="AM230" s="98" t="str">
        <f t="shared" si="146"/>
        <v>1+0,596365298696743i</v>
      </c>
      <c r="AN230" s="98">
        <f t="shared" si="162"/>
        <v>1.1643245121054764</v>
      </c>
      <c r="AO230" s="98">
        <f t="shared" si="163"/>
        <v>0.53774263970085645</v>
      </c>
      <c r="AP230" s="168" t="str">
        <f t="shared" si="164"/>
        <v>-2,63714744050007+4,49996526664388i</v>
      </c>
      <c r="AQ230" s="98">
        <f t="shared" si="165"/>
        <v>14.346365022007371</v>
      </c>
      <c r="AR230" s="169">
        <f t="shared" si="166"/>
        <v>120.37189298036407</v>
      </c>
      <c r="AS230" s="168" t="str">
        <f t="shared" si="167"/>
        <v>66,8423580479178+51,7981040279128i</v>
      </c>
      <c r="AT230" s="190">
        <f t="shared" si="168"/>
        <v>38.543634019540221</v>
      </c>
      <c r="AU230" s="169">
        <f t="shared" si="169"/>
        <v>37.773154680025506</v>
      </c>
      <c r="AV230" s="225"/>
      <c r="AX230">
        <f t="shared" si="170"/>
        <v>0</v>
      </c>
      <c r="AY230">
        <f t="shared" si="171"/>
        <v>0</v>
      </c>
    </row>
    <row r="231" spans="14:51" x14ac:dyDescent="0.25">
      <c r="N231" s="170">
        <v>13</v>
      </c>
      <c r="O231" s="199">
        <f t="shared" si="172"/>
        <v>1348.9628825916541</v>
      </c>
      <c r="P231" s="189" t="str">
        <f t="shared" si="138"/>
        <v>120,833333333333</v>
      </c>
      <c r="Q231" s="160" t="str">
        <f t="shared" si="139"/>
        <v>1+7,55757385608222i</v>
      </c>
      <c r="R231" s="160">
        <f t="shared" si="147"/>
        <v>7.6234455851758698</v>
      </c>
      <c r="S231" s="160">
        <f t="shared" si="148"/>
        <v>1.439242922730168</v>
      </c>
      <c r="T231" s="160" t="str">
        <f t="shared" si="140"/>
        <v>1+0,000508547025829829i</v>
      </c>
      <c r="U231" s="160">
        <f t="shared" si="149"/>
        <v>1.0000001293100305</v>
      </c>
      <c r="V231" s="160">
        <f t="shared" si="150"/>
        <v>5.0854698198967872E-4</v>
      </c>
      <c r="W231" s="98" t="str">
        <f t="shared" si="141"/>
        <v>1-0,00435316254110334i</v>
      </c>
      <c r="X231" s="160">
        <f t="shared" si="151"/>
        <v>1.0000094749671671</v>
      </c>
      <c r="Y231" s="160">
        <f t="shared" si="152"/>
        <v>-4.3531350439042805E-3</v>
      </c>
      <c r="Z231" s="98" t="str">
        <f t="shared" si="142"/>
        <v>0,999998496114993+0,001686140880827i</v>
      </c>
      <c r="AA231" s="160">
        <f t="shared" si="153"/>
        <v>0.99999991765165541</v>
      </c>
      <c r="AB231" s="160">
        <f t="shared" si="154"/>
        <v>1.6861418186488674E-3</v>
      </c>
      <c r="AC231" s="171" t="str">
        <f t="shared" si="155"/>
        <v>1,99222407186454-15,7246801546436i</v>
      </c>
      <c r="AD231" s="190">
        <f t="shared" si="156"/>
        <v>24.000793165775917</v>
      </c>
      <c r="AE231" s="169">
        <f t="shared" si="157"/>
        <v>-82.779432646295078</v>
      </c>
      <c r="AF231" s="98" t="str">
        <f t="shared" si="143"/>
        <v>-0,0000375877424711299</v>
      </c>
      <c r="AG231" s="98" t="str">
        <f t="shared" si="144"/>
        <v>0,0000085859689527603i</v>
      </c>
      <c r="AH231" s="98">
        <f t="shared" si="158"/>
        <v>8.5859689527603007E-6</v>
      </c>
      <c r="AI231" s="98">
        <f t="shared" si="159"/>
        <v>1.5707963267948966</v>
      </c>
      <c r="AJ231" s="98" t="str">
        <f t="shared" si="145"/>
        <v>1+0,00783152379362816i</v>
      </c>
      <c r="AK231" s="98">
        <f t="shared" si="160"/>
        <v>1.000030665912266</v>
      </c>
      <c r="AL231" s="98">
        <f t="shared" si="161"/>
        <v>7.831363689850589E-3</v>
      </c>
      <c r="AM231" s="98" t="str">
        <f t="shared" si="146"/>
        <v>1+0,610256430995796i</v>
      </c>
      <c r="AN231" s="98">
        <f t="shared" si="162"/>
        <v>1.1715002823609248</v>
      </c>
      <c r="AO231" s="98">
        <f t="shared" si="163"/>
        <v>0.54792688184676375</v>
      </c>
      <c r="AP231" s="168" t="str">
        <f t="shared" si="164"/>
        <v>-2,63714016128789+4,39846302741717i</v>
      </c>
      <c r="AQ231" s="98">
        <f t="shared" si="165"/>
        <v>14.199720174480426</v>
      </c>
      <c r="AR231" s="169">
        <f t="shared" si="166"/>
        <v>120.94519372432254</v>
      </c>
      <c r="AS231" s="168" t="str">
        <f t="shared" si="167"/>
        <v>63,9106501679619+50,230909481644i</v>
      </c>
      <c r="AT231" s="190">
        <f t="shared" si="168"/>
        <v>38.200513340256336</v>
      </c>
      <c r="AU231" s="169">
        <f t="shared" si="169"/>
        <v>38.165761078027479</v>
      </c>
      <c r="AV231" s="225"/>
      <c r="AX231">
        <f t="shared" si="170"/>
        <v>0</v>
      </c>
      <c r="AY231">
        <f t="shared" si="171"/>
        <v>0</v>
      </c>
    </row>
    <row r="232" spans="14:51" x14ac:dyDescent="0.25">
      <c r="N232" s="170">
        <v>14</v>
      </c>
      <c r="O232" s="199">
        <f t="shared" si="172"/>
        <v>1380.3842646028863</v>
      </c>
      <c r="P232" s="189" t="str">
        <f t="shared" si="138"/>
        <v>120,833333333333</v>
      </c>
      <c r="Q232" s="160" t="str">
        <f t="shared" si="139"/>
        <v>1+7,73361236557318i</v>
      </c>
      <c r="R232" s="160">
        <f t="shared" si="147"/>
        <v>7.7979971929301426</v>
      </c>
      <c r="S232" s="160">
        <f t="shared" si="148"/>
        <v>1.4422041649877384</v>
      </c>
      <c r="T232" s="160" t="str">
        <f t="shared" si="140"/>
        <v>1+0,000520392607776884i</v>
      </c>
      <c r="U232" s="160">
        <f t="shared" si="149"/>
        <v>1.0000001354042241</v>
      </c>
      <c r="V232" s="160">
        <f t="shared" si="150"/>
        <v>5.2039256080131701E-4</v>
      </c>
      <c r="W232" s="98" t="str">
        <f t="shared" si="141"/>
        <v>1-0,00445456072257013i</v>
      </c>
      <c r="X232" s="160">
        <f t="shared" si="151"/>
        <v>1.0000099215063973</v>
      </c>
      <c r="Y232" s="160">
        <f t="shared" si="152"/>
        <v>-4.4545312588062866E-3</v>
      </c>
      <c r="Z232" s="98" t="str">
        <f t="shared" si="142"/>
        <v>0,999998425239076+0,00172541614734837i</v>
      </c>
      <c r="AA232" s="160">
        <f t="shared" si="153"/>
        <v>0.99999991377075304</v>
      </c>
      <c r="AB232" s="160">
        <f t="shared" si="154"/>
        <v>1.7254171522425726E-3</v>
      </c>
      <c r="AC232" s="171" t="str">
        <f t="shared" si="155"/>
        <v>1,90011877557755-15,3786483431704i</v>
      </c>
      <c r="AD232" s="190">
        <f t="shared" si="156"/>
        <v>23.80416173516036</v>
      </c>
      <c r="AE232" s="169">
        <f t="shared" si="157"/>
        <v>-82.956480514124223</v>
      </c>
      <c r="AF232" s="98" t="str">
        <f t="shared" si="143"/>
        <v>-0,0000375877424711299</v>
      </c>
      <c r="AG232" s="98" t="str">
        <f t="shared" si="144"/>
        <v>8,78596186129975E-06i</v>
      </c>
      <c r="AH232" s="98">
        <f t="shared" si="158"/>
        <v>8.7859618612997504E-6</v>
      </c>
      <c r="AI232" s="98">
        <f t="shared" si="159"/>
        <v>1.5707963267948966</v>
      </c>
      <c r="AJ232" s="98" t="str">
        <f t="shared" si="145"/>
        <v>1+0,00801394341689969i</v>
      </c>
      <c r="AK232" s="98">
        <f t="shared" si="160"/>
        <v>1.0000321111289823</v>
      </c>
      <c r="AL232" s="98">
        <f t="shared" si="161"/>
        <v>8.0137718629086953E-3</v>
      </c>
      <c r="AM232" s="98" t="str">
        <f t="shared" si="146"/>
        <v>1+0,624471129332262i</v>
      </c>
      <c r="AN232" s="98">
        <f t="shared" si="162"/>
        <v>1.1789674259153688</v>
      </c>
      <c r="AO232" s="98">
        <f t="shared" si="163"/>
        <v>0.55821891345099284</v>
      </c>
      <c r="AP232" s="168" t="str">
        <f t="shared" si="164"/>
        <v>-2,63713253906006+4,29929290613373i</v>
      </c>
      <c r="AQ232" s="98">
        <f t="shared" si="165"/>
        <v>14.054895789576854</v>
      </c>
      <c r="AR232" s="169">
        <f t="shared" si="166"/>
        <v>121.52443247939513</v>
      </c>
      <c r="AS232" s="168" t="str">
        <f t="shared" si="167"/>
        <v>61,1064486765632+48,7247011251888i</v>
      </c>
      <c r="AT232" s="190">
        <f t="shared" si="168"/>
        <v>37.85905752473721</v>
      </c>
      <c r="AU232" s="169">
        <f t="shared" si="169"/>
        <v>38.567951965270908</v>
      </c>
      <c r="AV232" s="225"/>
      <c r="AX232">
        <f t="shared" si="170"/>
        <v>0</v>
      </c>
      <c r="AY232">
        <f t="shared" si="171"/>
        <v>0</v>
      </c>
    </row>
    <row r="233" spans="14:51" x14ac:dyDescent="0.25">
      <c r="N233" s="170">
        <v>15</v>
      </c>
      <c r="O233" s="199">
        <f t="shared" si="172"/>
        <v>1412.5375446227545</v>
      </c>
      <c r="P233" s="189" t="str">
        <f t="shared" si="138"/>
        <v>120,833333333333</v>
      </c>
      <c r="Q233" s="160" t="str">
        <f t="shared" si="139"/>
        <v>1+7,91375133870681i</v>
      </c>
      <c r="R233" s="160">
        <f t="shared" si="147"/>
        <v>7.9766822834361291</v>
      </c>
      <c r="S233" s="160">
        <f t="shared" si="148"/>
        <v>1.4451001940858024</v>
      </c>
      <c r="T233" s="160" t="str">
        <f t="shared" si="140"/>
        <v>1+0,000532514108772792i</v>
      </c>
      <c r="U233" s="160">
        <f t="shared" si="149"/>
        <v>1.0000001417856279</v>
      </c>
      <c r="V233" s="160">
        <f t="shared" si="150"/>
        <v>5.3251405843756543E-4</v>
      </c>
      <c r="W233" s="98" t="str">
        <f t="shared" si="141"/>
        <v>1-0,0045583207710951i</v>
      </c>
      <c r="X233" s="160">
        <f t="shared" si="151"/>
        <v>1.0000103890901595</v>
      </c>
      <c r="Y233" s="160">
        <f t="shared" si="152"/>
        <v>-4.5582892001210509E-3</v>
      </c>
      <c r="Z233" s="98" t="str">
        <f t="shared" si="142"/>
        <v>0,99999835102288+0,00176560625234965i</v>
      </c>
      <c r="AA233" s="160">
        <f t="shared" si="153"/>
        <v>0.99999990970695463</v>
      </c>
      <c r="AB233" s="160">
        <f t="shared" si="154"/>
        <v>1.7656073291131499E-3</v>
      </c>
      <c r="AC233" s="171" t="str">
        <f t="shared" si="155"/>
        <v>1,81202552717772-15,0397150107539i</v>
      </c>
      <c r="AD233" s="190">
        <f t="shared" si="156"/>
        <v>23.60738149442885</v>
      </c>
      <c r="AE233" s="169">
        <f t="shared" si="157"/>
        <v>-83.129963867775288</v>
      </c>
      <c r="AF233" s="98" t="str">
        <f t="shared" si="143"/>
        <v>-0,0000375877424711299</v>
      </c>
      <c r="AG233" s="98" t="str">
        <f t="shared" si="144"/>
        <v>8,99061320311399E-06i</v>
      </c>
      <c r="AH233" s="98">
        <f t="shared" si="158"/>
        <v>8.99061320311399E-6</v>
      </c>
      <c r="AI233" s="98">
        <f t="shared" si="159"/>
        <v>1.5707963267948966</v>
      </c>
      <c r="AJ233" s="98" t="str">
        <f t="shared" si="145"/>
        <v>1+0,00820061213904793i</v>
      </c>
      <c r="AK233" s="98">
        <f t="shared" si="160"/>
        <v>1.0000336244544257</v>
      </c>
      <c r="AL233" s="98">
        <f t="shared" si="161"/>
        <v>8.200428315968504E-3</v>
      </c>
      <c r="AM233" s="98" t="str">
        <f t="shared" si="146"/>
        <v>1+0,639016930527351i</v>
      </c>
      <c r="AN233" s="98">
        <f t="shared" si="162"/>
        <v>1.1867361280000694</v>
      </c>
      <c r="AO233" s="98">
        <f t="shared" si="163"/>
        <v>0.56861546955218889</v>
      </c>
      <c r="AP233" s="168" t="str">
        <f t="shared" si="164"/>
        <v>-2,63712455765494+4,20240232109827i</v>
      </c>
      <c r="AQ233" s="98">
        <f t="shared" si="165"/>
        <v>13.911929802829903</v>
      </c>
      <c r="AR233" s="169">
        <f t="shared" si="166"/>
        <v>122.10941663848538</v>
      </c>
      <c r="AS233" s="168" t="str">
        <f t="shared" si="167"/>
        <v>58,4243962530307+47,2764620762917i</v>
      </c>
      <c r="AT233" s="190">
        <f t="shared" si="168"/>
        <v>37.51931129725876</v>
      </c>
      <c r="AU233" s="169">
        <f t="shared" si="169"/>
        <v>38.979452770710097</v>
      </c>
      <c r="AV233" s="225"/>
      <c r="AX233">
        <f t="shared" si="170"/>
        <v>0</v>
      </c>
      <c r="AY233">
        <f t="shared" si="171"/>
        <v>0</v>
      </c>
    </row>
    <row r="234" spans="14:51" x14ac:dyDescent="0.25">
      <c r="N234" s="170">
        <v>16</v>
      </c>
      <c r="O234" s="199">
        <f t="shared" si="172"/>
        <v>1445.4397707459289</v>
      </c>
      <c r="P234" s="189" t="str">
        <f t="shared" si="138"/>
        <v>120,833333333333</v>
      </c>
      <c r="Q234" s="160" t="str">
        <f t="shared" si="139"/>
        <v>1+8,09808628755113i</v>
      </c>
      <c r="R234" s="160">
        <f t="shared" si="147"/>
        <v>8.1595956713935056</v>
      </c>
      <c r="S234" s="160">
        <f t="shared" si="148"/>
        <v>1.4479323511222346</v>
      </c>
      <c r="T234" s="160" t="str">
        <f t="shared" si="140"/>
        <v>1+0,00054491795579783i</v>
      </c>
      <c r="U234" s="160">
        <f t="shared" si="149"/>
        <v>1.0000001484677783</v>
      </c>
      <c r="V234" s="160">
        <f t="shared" si="150"/>
        <v>5.4491790186266345E-4</v>
      </c>
      <c r="W234" s="98" t="str">
        <f t="shared" si="141"/>
        <v>1-0,00466449770162943i</v>
      </c>
      <c r="X234" s="160">
        <f t="shared" si="151"/>
        <v>1.0000108787102311</v>
      </c>
      <c r="Y234" s="160">
        <f t="shared" si="152"/>
        <v>-4.6644638727411274E-3</v>
      </c>
      <c r="Z234" s="98" t="str">
        <f t="shared" si="142"/>
        <v>0,999998273308983+0,00180673250515648i</v>
      </c>
      <c r="AA234" s="160">
        <f t="shared" si="153"/>
        <v>0.99999990545164186</v>
      </c>
      <c r="AB234" s="160">
        <f t="shared" si="154"/>
        <v>1.8067336589293137E-3</v>
      </c>
      <c r="AC234" s="171" t="str">
        <f t="shared" si="155"/>
        <v>1,72777521950884-14,7077687075334i</v>
      </c>
      <c r="AD234" s="190">
        <f t="shared" si="156"/>
        <v>23.410458947383916</v>
      </c>
      <c r="AE234" s="169">
        <f t="shared" si="157"/>
        <v>-83.299963550760793</v>
      </c>
      <c r="AF234" s="98" t="str">
        <f t="shared" si="143"/>
        <v>-0,0000375877424711299</v>
      </c>
      <c r="AG234" s="98" t="str">
        <f t="shared" si="144"/>
        <v>9,20003148705338E-06i</v>
      </c>
      <c r="AH234" s="98">
        <f t="shared" si="158"/>
        <v>9.2000314870533804E-6</v>
      </c>
      <c r="AI234" s="98">
        <f t="shared" si="159"/>
        <v>1.5707963267948966</v>
      </c>
      <c r="AJ234" s="98" t="str">
        <f t="shared" si="145"/>
        <v>1+0,00839162893430024i</v>
      </c>
      <c r="AK234" s="98">
        <f t="shared" si="160"/>
        <v>1.0000352090982452</v>
      </c>
      <c r="AL234" s="98">
        <f t="shared" si="161"/>
        <v>8.3914319646964299E-3</v>
      </c>
      <c r="AM234" s="98" t="str">
        <f t="shared" si="146"/>
        <v>1+0,653901546957397i</v>
      </c>
      <c r="AN234" s="98">
        <f t="shared" si="162"/>
        <v>1.1948168198988818</v>
      </c>
      <c r="AO234" s="98">
        <f t="shared" si="163"/>
        <v>0.57911307226217745</v>
      </c>
      <c r="AP234" s="168" t="str">
        <f t="shared" si="164"/>
        <v>-2,63711620014955+4,10773989922823i</v>
      </c>
      <c r="AQ234" s="98">
        <f t="shared" si="165"/>
        <v>13.770859316124364</v>
      </c>
      <c r="AR234" s="169">
        <f t="shared" si="166"/>
        <v>122.69994126582908</v>
      </c>
      <c r="AS234" s="168" t="str">
        <f t="shared" si="167"/>
        <v>55,8593443269717+45,8833463327632i</v>
      </c>
      <c r="AT234" s="190">
        <f t="shared" si="168"/>
        <v>37.181318263508281</v>
      </c>
      <c r="AU234" s="169">
        <f t="shared" si="169"/>
        <v>39.399977715068275</v>
      </c>
      <c r="AV234" s="225"/>
      <c r="AX234">
        <f t="shared" si="170"/>
        <v>0</v>
      </c>
      <c r="AY234">
        <f t="shared" si="171"/>
        <v>0</v>
      </c>
    </row>
    <row r="235" spans="14:51" x14ac:dyDescent="0.25">
      <c r="N235" s="170">
        <v>17</v>
      </c>
      <c r="O235" s="199">
        <f t="shared" si="172"/>
        <v>1479.1083881682086</v>
      </c>
      <c r="P235" s="189" t="str">
        <f t="shared" si="138"/>
        <v>120,833333333333</v>
      </c>
      <c r="Q235" s="160" t="str">
        <f t="shared" si="139"/>
        <v>1+8,28671494893593i</v>
      </c>
      <c r="R235" s="160">
        <f t="shared" si="147"/>
        <v>8.3468344086197259</v>
      </c>
      <c r="S235" s="160">
        <f t="shared" si="148"/>
        <v>1.4507019559106464</v>
      </c>
      <c r="T235" s="160" t="str">
        <f t="shared" si="140"/>
        <v>1+0,000557610725535873i</v>
      </c>
      <c r="U235" s="160">
        <f t="shared" si="149"/>
        <v>1.0000001554648486</v>
      </c>
      <c r="V235" s="160">
        <f t="shared" si="150"/>
        <v>5.5761066774330124E-4</v>
      </c>
      <c r="W235" s="98" t="str">
        <f t="shared" si="141"/>
        <v>1-0,00477314781058708i</v>
      </c>
      <c r="X235" s="160">
        <f t="shared" si="151"/>
        <v>1.0000113914051287</v>
      </c>
      <c r="Y235" s="160">
        <f t="shared" si="152"/>
        <v>-4.7731115623024902E-3</v>
      </c>
      <c r="Z235" s="98" t="str">
        <f t="shared" si="142"/>
        <v>0,999998191932542+0,00184881671145248i</v>
      </c>
      <c r="AA235" s="160">
        <f t="shared" si="153"/>
        <v>0.99999990099578795</v>
      </c>
      <c r="AB235" s="160">
        <f t="shared" si="154"/>
        <v>1.8488179477422983E-3</v>
      </c>
      <c r="AC235" s="171" t="str">
        <f t="shared" si="155"/>
        <v>1,64720538195999-14,3826973650955i</v>
      </c>
      <c r="AD235" s="190">
        <f t="shared" si="156"/>
        <v>23.213400324064523</v>
      </c>
      <c r="AE235" s="169">
        <f t="shared" si="157"/>
        <v>-83.466559280339212</v>
      </c>
      <c r="AF235" s="98" t="str">
        <f t="shared" si="143"/>
        <v>-0,0000375877424711299</v>
      </c>
      <c r="AG235" s="98" t="str">
        <f t="shared" si="144"/>
        <v>9,41432774946401E-06i</v>
      </c>
      <c r="AH235" s="98">
        <f t="shared" si="158"/>
        <v>9.4143277494640093E-6</v>
      </c>
      <c r="AI235" s="98">
        <f t="shared" si="159"/>
        <v>1.5707963267948966</v>
      </c>
      <c r="AJ235" s="98" t="str">
        <f t="shared" si="145"/>
        <v>1+0,00858709508228985i</v>
      </c>
      <c r="AK235" s="98">
        <f t="shared" si="160"/>
        <v>1.0000368684213359</v>
      </c>
      <c r="AL235" s="98">
        <f t="shared" si="161"/>
        <v>8.5868840259770655E-3</v>
      </c>
      <c r="AM235" s="98" t="str">
        <f t="shared" si="146"/>
        <v>1+0,669132870643048i</v>
      </c>
      <c r="AN235" s="98">
        <f t="shared" si="162"/>
        <v>1.2032201787599002</v>
      </c>
      <c r="AO235" s="98">
        <f t="shared" si="163"/>
        <v>0.58970803267465088</v>
      </c>
      <c r="AP235" s="168" t="str">
        <f t="shared" si="164"/>
        <v>-2,63710744882385+4,01525544881335i</v>
      </c>
      <c r="AQ235" s="98">
        <f t="shared" si="165"/>
        <v>13.631720483823733</v>
      </c>
      <c r="AR235" s="169">
        <f t="shared" si="166"/>
        <v>123.29578920336343</v>
      </c>
      <c r="AS235" s="168" t="str">
        <f t="shared" si="167"/>
        <v>53,4063463813237+44,542668740902i</v>
      </c>
      <c r="AT235" s="190">
        <f t="shared" si="168"/>
        <v>36.84512080788825</v>
      </c>
      <c r="AU235" s="169">
        <f t="shared" si="169"/>
        <v>39.829229923024201</v>
      </c>
      <c r="AV235" s="225"/>
      <c r="AX235">
        <f t="shared" si="170"/>
        <v>0</v>
      </c>
      <c r="AY235">
        <f t="shared" si="171"/>
        <v>0</v>
      </c>
    </row>
    <row r="236" spans="14:51" x14ac:dyDescent="0.25">
      <c r="N236" s="170">
        <v>18</v>
      </c>
      <c r="O236" s="199">
        <f t="shared" si="172"/>
        <v>1513.5612484362093</v>
      </c>
      <c r="P236" s="189" t="str">
        <f t="shared" si="138"/>
        <v>120,833333333333</v>
      </c>
      <c r="Q236" s="160" t="str">
        <f t="shared" si="139"/>
        <v>1+8,47973733627431i</v>
      </c>
      <c r="R236" s="160">
        <f t="shared" si="147"/>
        <v>8.538497835814244</v>
      </c>
      <c r="S236" s="160">
        <f t="shared" si="148"/>
        <v>1.4534103068823441</v>
      </c>
      <c r="T236" s="160" t="str">
        <f t="shared" si="140"/>
        <v>1+0,000570599147861446i</v>
      </c>
      <c r="U236" s="160">
        <f t="shared" si="149"/>
        <v>1.0000001627916806</v>
      </c>
      <c r="V236" s="160">
        <f t="shared" si="150"/>
        <v>5.7059908593559033E-4</v>
      </c>
      <c r="W236" s="98" t="str">
        <f t="shared" si="141"/>
        <v>1-0,00488432870569398i</v>
      </c>
      <c r="X236" s="160">
        <f t="shared" si="151"/>
        <v>1.000011928262311</v>
      </c>
      <c r="Y236" s="160">
        <f t="shared" si="152"/>
        <v>-4.884289864982282E-3</v>
      </c>
      <c r="Z236" s="98" t="str">
        <f t="shared" si="142"/>
        <v>0,999998106720948+0,00189188118484087i</v>
      </c>
      <c r="AA236" s="160">
        <f t="shared" si="153"/>
        <v>0.99999989632994357</v>
      </c>
      <c r="AB236" s="160">
        <f t="shared" si="154"/>
        <v>1.8918825095492237E-3</v>
      </c>
      <c r="AC236" s="171" t="str">
        <f t="shared" si="155"/>
        <v>1,57015996321458-14,064388501129i</v>
      </c>
      <c r="AD236" s="190">
        <f t="shared" si="156"/>
        <v>23.016211591562673</v>
      </c>
      <c r="AE236" s="169">
        <f t="shared" si="157"/>
        <v>-83.629829644067755</v>
      </c>
      <c r="AF236" s="98" t="str">
        <f t="shared" si="143"/>
        <v>-0,0000375877424711299</v>
      </c>
      <c r="AG236" s="98" t="str">
        <f t="shared" si="144"/>
        <v>9,63361561306076E-06i</v>
      </c>
      <c r="AH236" s="98">
        <f t="shared" si="158"/>
        <v>9.6336156130607595E-6</v>
      </c>
      <c r="AI236" s="98">
        <f t="shared" si="159"/>
        <v>1.5707963267948966</v>
      </c>
      <c r="AJ236" s="98" t="str">
        <f t="shared" si="145"/>
        <v>1+0,00878711422175572i</v>
      </c>
      <c r="AK236" s="98">
        <f t="shared" si="160"/>
        <v>1.0000386059429638</v>
      </c>
      <c r="AL236" s="98">
        <f t="shared" si="161"/>
        <v>8.786888071313597E-3</v>
      </c>
      <c r="AM236" s="98" t="str">
        <f t="shared" si="146"/>
        <v>1+0,684718977433736i</v>
      </c>
      <c r="AN236" s="98">
        <f t="shared" si="162"/>
        <v>1.2119571271533911</v>
      </c>
      <c r="AO236" s="98">
        <f t="shared" si="163"/>
        <v>0.60039645370895134</v>
      </c>
      <c r="AP236" s="168" t="str">
        <f t="shared" si="164"/>
        <v>-2,63709828512314+3,92489993290101i</v>
      </c>
      <c r="AQ236" s="98">
        <f t="shared" si="165"/>
        <v>13.494548398135919</v>
      </c>
      <c r="AR236" s="169">
        <f t="shared" si="166"/>
        <v>123.89673123060436</v>
      </c>
      <c r="AS236" s="168" t="str">
        <f t="shared" si="167"/>
        <v>51,0606513380128+43,2518955318977i</v>
      </c>
      <c r="AT236" s="190">
        <f t="shared" si="168"/>
        <v>36.510759989698599</v>
      </c>
      <c r="AU236" s="169">
        <f t="shared" si="169"/>
        <v>40.266901586536633</v>
      </c>
      <c r="AV236" s="225"/>
      <c r="AX236">
        <f t="shared" si="170"/>
        <v>0</v>
      </c>
      <c r="AY236">
        <f t="shared" si="171"/>
        <v>0</v>
      </c>
    </row>
    <row r="237" spans="14:51" x14ac:dyDescent="0.25">
      <c r="N237" s="170">
        <v>19</v>
      </c>
      <c r="O237" s="199">
        <f t="shared" si="172"/>
        <v>1548.8166189124822</v>
      </c>
      <c r="P237" s="189" t="str">
        <f t="shared" si="138"/>
        <v>120,833333333333</v>
      </c>
      <c r="Q237" s="160" t="str">
        <f t="shared" si="139"/>
        <v>1+8,67725579259096i</v>
      </c>
      <c r="R237" s="160">
        <f t="shared" si="147"/>
        <v>8.7346876355169893</v>
      </c>
      <c r="S237" s="160">
        <f t="shared" si="148"/>
        <v>1.4560586810257798</v>
      </c>
      <c r="T237" s="160" t="str">
        <f t="shared" si="140"/>
        <v>1+0,000583890109407987i</v>
      </c>
      <c r="U237" s="160">
        <f t="shared" si="149"/>
        <v>1.0000001704638155</v>
      </c>
      <c r="V237" s="160">
        <f t="shared" si="150"/>
        <v>5.8389004305323773E-4</v>
      </c>
      <c r="W237" s="98" t="str">
        <f t="shared" si="141"/>
        <v>1-0,00499809933653237i</v>
      </c>
      <c r="X237" s="160">
        <f t="shared" si="151"/>
        <v>1.0000124904204837</v>
      </c>
      <c r="Y237" s="160">
        <f t="shared" si="152"/>
        <v>-4.9980577179880321E-3</v>
      </c>
      <c r="Z237" s="98" t="str">
        <f t="shared" si="142"/>
        <v>0,999998017493455+0,00193594875867547i</v>
      </c>
      <c r="AA237" s="160">
        <f t="shared" si="153"/>
        <v>0.99999989144421231</v>
      </c>
      <c r="AB237" s="160">
        <f t="shared" si="154"/>
        <v>1.935950178125985E-3</v>
      </c>
      <c r="AC237" s="171" t="str">
        <f t="shared" si="155"/>
        <v>1,49648911714811-13,7527294087748i</v>
      </c>
      <c r="AD237" s="190">
        <f t="shared" si="156"/>
        <v>22.818898464483027</v>
      </c>
      <c r="AE237" s="169">
        <f t="shared" si="157"/>
        <v>-83.789852098553581</v>
      </c>
      <c r="AF237" s="98" t="str">
        <f t="shared" si="143"/>
        <v>-0,0000375877424711299</v>
      </c>
      <c r="AG237" s="98" t="str">
        <f t="shared" si="144"/>
        <v>9,85801134717154E-06i</v>
      </c>
      <c r="AH237" s="98">
        <f t="shared" si="158"/>
        <v>9.8580113471715403E-6</v>
      </c>
      <c r="AI237" s="98">
        <f t="shared" si="159"/>
        <v>1.5707963267948966</v>
      </c>
      <c r="AJ237" s="98" t="str">
        <f t="shared" si="145"/>
        <v>1+0,00899179240549318i</v>
      </c>
      <c r="AK237" s="98">
        <f t="shared" si="160"/>
        <v>1.0000404253482273</v>
      </c>
      <c r="AL237" s="98">
        <f t="shared" si="161"/>
        <v>8.9915500814576055E-3</v>
      </c>
      <c r="AM237" s="98" t="str">
        <f t="shared" si="146"/>
        <v>1+0,700668131289585i</v>
      </c>
      <c r="AN237" s="98">
        <f t="shared" si="162"/>
        <v>1.2210388323902066</v>
      </c>
      <c r="AO237" s="98">
        <f t="shared" si="163"/>
        <v>0.61117423391458114</v>
      </c>
      <c r="AP237" s="168" t="str">
        <f t="shared" si="164"/>
        <v>-2,63708868961876+3,83662544329404i</v>
      </c>
      <c r="AQ237" s="98">
        <f t="shared" si="165"/>
        <v>13.359376974381895</v>
      </c>
      <c r="AR237" s="169">
        <f t="shared" si="166"/>
        <v>124.50252627949878</v>
      </c>
      <c r="AS237" s="168" t="str">
        <f t="shared" si="167"/>
        <v>48,8176970394747+42,0086353977304i</v>
      </c>
      <c r="AT237" s="190">
        <f t="shared" si="168"/>
        <v>36.178275438864922</v>
      </c>
      <c r="AU237" s="169">
        <f t="shared" si="169"/>
        <v>40.712674180945228</v>
      </c>
      <c r="AV237" s="225"/>
      <c r="AX237">
        <f t="shared" si="170"/>
        <v>0</v>
      </c>
      <c r="AY237">
        <f t="shared" si="171"/>
        <v>0</v>
      </c>
    </row>
    <row r="238" spans="14:51" x14ac:dyDescent="0.25">
      <c r="N238" s="170">
        <v>20</v>
      </c>
      <c r="O238" s="199">
        <f t="shared" si="172"/>
        <v>1584.8931924611156</v>
      </c>
      <c r="P238" s="189" t="str">
        <f t="shared" si="138"/>
        <v>120,833333333333</v>
      </c>
      <c r="Q238" s="160" t="str">
        <f t="shared" si="139"/>
        <v>1+8,87937504478592i</v>
      </c>
      <c r="R238" s="160">
        <f t="shared" si="147"/>
        <v>8.935507886290905</v>
      </c>
      <c r="S238" s="160">
        <f t="shared" si="148"/>
        <v>1.4586483338606779</v>
      </c>
      <c r="T238" s="160" t="str">
        <f t="shared" si="140"/>
        <v>1+0,000597490657219237i</v>
      </c>
      <c r="U238" s="160">
        <f t="shared" si="149"/>
        <v>1.0000001784975268</v>
      </c>
      <c r="V238" s="160">
        <f t="shared" si="150"/>
        <v>5.9749058611884281E-4</v>
      </c>
      <c r="W238" s="98" t="str">
        <f t="shared" si="141"/>
        <v>1-0,00511452002579667i</v>
      </c>
      <c r="X238" s="160">
        <f t="shared" si="151"/>
        <v>1.0000130790720161</v>
      </c>
      <c r="Y238" s="160">
        <f t="shared" si="152"/>
        <v>-5.1144754307544567E-3</v>
      </c>
      <c r="Z238" s="98" t="str">
        <f t="shared" si="142"/>
        <v>0,9999979240608+0,00198104279816723i</v>
      </c>
      <c r="AA238" s="160">
        <f t="shared" si="153"/>
        <v>0.99999988632823245</v>
      </c>
      <c r="AB238" s="160">
        <f t="shared" si="154"/>
        <v>1.981044319135792E-3</v>
      </c>
      <c r="AC238" s="171" t="str">
        <f t="shared" si="155"/>
        <v>1,42604899225007-13,4476073315223i</v>
      </c>
      <c r="AD238" s="190">
        <f t="shared" si="156"/>
        <v>22.621466415053352</v>
      </c>
      <c r="AE238" s="169">
        <f t="shared" si="157"/>
        <v>-83.946702970243322</v>
      </c>
      <c r="AF238" s="98" t="str">
        <f t="shared" si="143"/>
        <v>-0,0000375877424711299</v>
      </c>
      <c r="AG238" s="98" t="str">
        <f t="shared" si="144"/>
        <v>0,0000100876339293848i</v>
      </c>
      <c r="AH238" s="98">
        <f t="shared" si="158"/>
        <v>1.0087633929384801E-5</v>
      </c>
      <c r="AI238" s="98">
        <f t="shared" si="159"/>
        <v>1.5707963267948966</v>
      </c>
      <c r="AJ238" s="98" t="str">
        <f t="shared" si="145"/>
        <v>1+0,00920123815658449i</v>
      </c>
      <c r="AK238" s="98">
        <f t="shared" si="160"/>
        <v>1.0000423304958717</v>
      </c>
      <c r="AL238" s="98">
        <f t="shared" si="161"/>
        <v>9.200978502295851E-3</v>
      </c>
      <c r="AM238" s="98" t="str">
        <f t="shared" si="146"/>
        <v>1+0,716988788663085i</v>
      </c>
      <c r="AN238" s="98">
        <f t="shared" si="162"/>
        <v>1.230476705618013</v>
      </c>
      <c r="AO238" s="98">
        <f t="shared" si="163"/>
        <v>0.62203707225522586</v>
      </c>
      <c r="AP238" s="168" t="str">
        <f t="shared" si="164"/>
        <v>-2,63707864196705+3,75038517514682i</v>
      </c>
      <c r="AQ238" s="98">
        <f t="shared" si="165"/>
        <v>13.226238836865786</v>
      </c>
      <c r="AR238" s="169">
        <f t="shared" si="166"/>
        <v>125.11292170532653</v>
      </c>
      <c r="AS238" s="168" t="str">
        <f t="shared" si="167"/>
        <v>46,6731038374756+40,8106310790847i</v>
      </c>
      <c r="AT238" s="190">
        <f t="shared" si="168"/>
        <v>35.847705251919137</v>
      </c>
      <c r="AU238" s="169">
        <f t="shared" si="169"/>
        <v>41.166218735083234</v>
      </c>
      <c r="AV238" s="225"/>
      <c r="AX238">
        <f t="shared" si="170"/>
        <v>0</v>
      </c>
      <c r="AY238">
        <f t="shared" si="171"/>
        <v>0</v>
      </c>
    </row>
    <row r="239" spans="14:51" x14ac:dyDescent="0.25">
      <c r="N239" s="170">
        <v>21</v>
      </c>
      <c r="O239" s="199">
        <f t="shared" si="172"/>
        <v>1621.8100973589308</v>
      </c>
      <c r="P239" s="189" t="str">
        <f t="shared" si="138"/>
        <v>120,833333333333</v>
      </c>
      <c r="Q239" s="160" t="str">
        <f t="shared" si="139"/>
        <v>1+9,08620225916201i</v>
      </c>
      <c r="R239" s="160">
        <f t="shared" si="147"/>
        <v>9.1410651181577744</v>
      </c>
      <c r="S239" s="160">
        <f t="shared" si="148"/>
        <v>1.4611804994441444</v>
      </c>
      <c r="T239" s="160" t="str">
        <f t="shared" si="140"/>
        <v>1+0,000611408002485665i</v>
      </c>
      <c r="U239" s="160">
        <f t="shared" si="149"/>
        <v>1.0000001869098554</v>
      </c>
      <c r="V239" s="160">
        <f t="shared" si="150"/>
        <v>6.1140792630022078E-4</v>
      </c>
      <c r="W239" s="98" t="str">
        <f t="shared" si="141"/>
        <v>1-0,00523365250127729i</v>
      </c>
      <c r="X239" s="160">
        <f t="shared" si="151"/>
        <v>1.000013695465469</v>
      </c>
      <c r="Y239" s="160">
        <f t="shared" si="152"/>
        <v>-5.2336047168639842E-3</v>
      </c>
      <c r="Z239" s="98" t="str">
        <f t="shared" si="142"/>
        <v>0,9999978262248+0,00202718721277278i</v>
      </c>
      <c r="AA239" s="160">
        <f t="shared" si="153"/>
        <v>0.99999988097115344</v>
      </c>
      <c r="AB239" s="160">
        <f t="shared" si="154"/>
        <v>2.0271888425198803E-3</v>
      </c>
      <c r="AC239" s="171" t="str">
        <f t="shared" si="155"/>
        <v>1,35870152489095-13,1489096244655i</v>
      </c>
      <c r="AD239" s="190">
        <f t="shared" si="156"/>
        <v>22.423920682889992</v>
      </c>
      <c r="AE239" s="169">
        <f t="shared" si="157"/>
        <v>-84.100457458097821</v>
      </c>
      <c r="AF239" s="98" t="str">
        <f t="shared" si="143"/>
        <v>-0,0000375877424711299</v>
      </c>
      <c r="AG239" s="98" t="str">
        <f t="shared" si="144"/>
        <v>0,000010322605108633i</v>
      </c>
      <c r="AH239" s="98">
        <f t="shared" si="158"/>
        <v>1.0322605108633001E-5</v>
      </c>
      <c r="AI239" s="98">
        <f t="shared" si="159"/>
        <v>1.5707963267948966</v>
      </c>
      <c r="AJ239" s="98" t="str">
        <f t="shared" si="145"/>
        <v>1+0,00941556252593916i</v>
      </c>
      <c r="AK239" s="98">
        <f t="shared" si="160"/>
        <v>1.0000443254264682</v>
      </c>
      <c r="AL239" s="98">
        <f t="shared" si="161"/>
        <v>9.4152843020222227E-3</v>
      </c>
      <c r="AM239" s="98" t="str">
        <f t="shared" si="146"/>
        <v>1+0,733689602982799i</v>
      </c>
      <c r="AN239" s="98">
        <f t="shared" si="162"/>
        <v>1.2402824007156827</v>
      </c>
      <c r="AO239" s="98">
        <f t="shared" si="163"/>
        <v>0.63298047388346079</v>
      </c>
      <c r="AP239" s="168" t="str">
        <f t="shared" si="164"/>
        <v>-2,63706812086616+3,66613340214601i</v>
      </c>
      <c r="AQ239" s="98">
        <f t="shared" si="165"/>
        <v>13.095165206074791</v>
      </c>
      <c r="AR239" s="169">
        <f t="shared" si="166"/>
        <v>125.72765361429148</v>
      </c>
      <c r="AS239" s="168" t="str">
        <f t="shared" si="167"/>
        <v>44,62266829899+39,6557514387776i</v>
      </c>
      <c r="AT239" s="190">
        <f t="shared" si="168"/>
        <v>35.519085888964781</v>
      </c>
      <c r="AU239" s="169">
        <f t="shared" si="169"/>
        <v>41.627196156193627</v>
      </c>
      <c r="AV239" s="225"/>
      <c r="AX239">
        <f t="shared" si="170"/>
        <v>0</v>
      </c>
      <c r="AY239">
        <f t="shared" si="171"/>
        <v>0</v>
      </c>
    </row>
    <row r="240" spans="14:51" x14ac:dyDescent="0.25">
      <c r="N240" s="170">
        <v>22</v>
      </c>
      <c r="O240" s="199">
        <f t="shared" si="172"/>
        <v>1659.5869074375626</v>
      </c>
      <c r="P240" s="189" t="str">
        <f t="shared" si="138"/>
        <v>120,833333333333</v>
      </c>
      <c r="Q240" s="160" t="str">
        <f t="shared" si="139"/>
        <v>1+9,29784709824607i</v>
      </c>
      <c r="R240" s="160">
        <f t="shared" si="147"/>
        <v>9.3514683693184182</v>
      </c>
      <c r="S240" s="160">
        <f t="shared" si="148"/>
        <v>1.4636563904062565</v>
      </c>
      <c r="T240" s="160" t="str">
        <f t="shared" si="140"/>
        <v>1+0,000625649524367957i</v>
      </c>
      <c r="U240" s="160">
        <f t="shared" si="149"/>
        <v>1.0000001957186446</v>
      </c>
      <c r="V240" s="160">
        <f t="shared" si="150"/>
        <v>6.2564944273378359E-4</v>
      </c>
      <c r="W240" s="98" t="str">
        <f t="shared" si="141"/>
        <v>1-0,00535555992858971i</v>
      </c>
      <c r="X240" s="160">
        <f t="shared" si="151"/>
        <v>1.0000143409082436</v>
      </c>
      <c r="Y240" s="160">
        <f t="shared" si="152"/>
        <v>-5.3555087267080203E-3</v>
      </c>
      <c r="Z240" s="98" t="str">
        <f t="shared" si="142"/>
        <v>0,999997723777931+0,00207440646887155i</v>
      </c>
      <c r="AA240" s="160">
        <f t="shared" si="153"/>
        <v>0.99999987536161272</v>
      </c>
      <c r="AB240" s="160">
        <f t="shared" si="154"/>
        <v>2.0744082151769464E-3</v>
      </c>
      <c r="AC240" s="171" t="str">
        <f t="shared" si="155"/>
        <v>1,2943142367057-12,8565239027048i</v>
      </c>
      <c r="AD240" s="190">
        <f t="shared" si="156"/>
        <v>22.226266284426416</v>
      </c>
      <c r="AE240" s="169">
        <f t="shared" si="157"/>
        <v>-84.251189638010189</v>
      </c>
      <c r="AF240" s="98" t="str">
        <f t="shared" si="143"/>
        <v>-0,0000375877424711299</v>
      </c>
      <c r="AG240" s="98" t="str">
        <f t="shared" si="144"/>
        <v>0,0000105630494697457i</v>
      </c>
      <c r="AH240" s="98">
        <f t="shared" si="158"/>
        <v>1.05630494697457E-5</v>
      </c>
      <c r="AI240" s="98">
        <f t="shared" si="159"/>
        <v>1.5707963267948966</v>
      </c>
      <c r="AJ240" s="98" t="str">
        <f t="shared" si="145"/>
        <v>1+0,00963487915117485i</v>
      </c>
      <c r="AK240" s="98">
        <f t="shared" si="160"/>
        <v>1.000046414370982</v>
      </c>
      <c r="AL240" s="98">
        <f t="shared" si="161"/>
        <v>9.634581029623961E-3</v>
      </c>
      <c r="AM240" s="98" t="str">
        <f t="shared" si="146"/>
        <v>1+0,750779429241549i</v>
      </c>
      <c r="AN240" s="98">
        <f t="shared" si="162"/>
        <v>1.2504678130093019</v>
      </c>
      <c r="AO240" s="98">
        <f t="shared" si="163"/>
        <v>0.64399975690928768</v>
      </c>
      <c r="AP240" s="168" t="str">
        <f t="shared" si="164"/>
        <v>-2,63705710401104+3,58382545226309i</v>
      </c>
      <c r="AQ240" s="98">
        <f t="shared" si="165"/>
        <v>12.966185787962196</v>
      </c>
      <c r="AR240" s="169">
        <f t="shared" si="166"/>
        <v>126.34644724797894</v>
      </c>
      <c r="AS240" s="168" t="str">
        <f t="shared" si="167"/>
        <v>42,6623570374149+38,5419839952478i</v>
      </c>
      <c r="AT240" s="190">
        <f t="shared" si="168"/>
        <v>35.192452072388612</v>
      </c>
      <c r="AU240" s="169">
        <f t="shared" si="169"/>
        <v>42.095257609968741</v>
      </c>
      <c r="AV240" s="225"/>
      <c r="AX240">
        <f t="shared" si="170"/>
        <v>0</v>
      </c>
      <c r="AY240">
        <f t="shared" si="171"/>
        <v>0</v>
      </c>
    </row>
    <row r="241" spans="14:51" x14ac:dyDescent="0.25">
      <c r="N241" s="170">
        <v>23</v>
      </c>
      <c r="O241" s="199">
        <f t="shared" si="172"/>
        <v>1698.2436524617447</v>
      </c>
      <c r="P241" s="189" t="str">
        <f t="shared" si="138"/>
        <v>120,833333333333</v>
      </c>
      <c r="Q241" s="160" t="str">
        <f t="shared" si="139"/>
        <v>1+9,51442177893312i</v>
      </c>
      <c r="R241" s="160">
        <f t="shared" si="147"/>
        <v>9.5668292441872751</v>
      </c>
      <c r="S241" s="160">
        <f t="shared" si="148"/>
        <v>1.4660771980127356</v>
      </c>
      <c r="T241" s="160" t="str">
        <f t="shared" si="140"/>
        <v>1+0,000640222773909515i</v>
      </c>
      <c r="U241" s="160">
        <f t="shared" si="149"/>
        <v>1.0000002049425791</v>
      </c>
      <c r="V241" s="160">
        <f t="shared" si="150"/>
        <v>6.4022268643692322E-4</v>
      </c>
      <c r="W241" s="98" t="str">
        <f t="shared" si="141"/>
        <v>1-0,00548030694466545i</v>
      </c>
      <c r="X241" s="160">
        <f t="shared" si="151"/>
        <v>1.0000150167693522</v>
      </c>
      <c r="Y241" s="160">
        <f t="shared" si="152"/>
        <v>-5.4802520809052518E-3</v>
      </c>
      <c r="Z241" s="98" t="str">
        <f t="shared" si="142"/>
        <v>0,99999761650289+0,00212272560273811i</v>
      </c>
      <c r="AA241" s="160">
        <f t="shared" si="153"/>
        <v>0.99999986948771413</v>
      </c>
      <c r="AB241" s="160">
        <f t="shared" si="154"/>
        <v>2.1227274739379588E-3</v>
      </c>
      <c r="AC241" s="171" t="str">
        <f t="shared" si="155"/>
        <v>1,23276003632021-12,5703381776443i</v>
      </c>
      <c r="AD241" s="190">
        <f t="shared" si="156"/>
        <v>22.028508022010715</v>
      </c>
      <c r="AE241" s="169">
        <f t="shared" si="157"/>
        <v>-84.398972468830621</v>
      </c>
      <c r="AF241" s="98" t="str">
        <f t="shared" si="143"/>
        <v>-0,0000375877424711299</v>
      </c>
      <c r="AG241" s="98" t="str">
        <f t="shared" si="144"/>
        <v>0,0000108090944995057i</v>
      </c>
      <c r="AH241" s="98">
        <f t="shared" si="158"/>
        <v>1.08090944995057E-5</v>
      </c>
      <c r="AI241" s="98">
        <f t="shared" si="159"/>
        <v>1.5707963267948966</v>
      </c>
      <c r="AJ241" s="98" t="str">
        <f t="shared" si="145"/>
        <v>1+0,00985930431686913i</v>
      </c>
      <c r="AK241" s="98">
        <f t="shared" si="160"/>
        <v>1.0000486017597408</v>
      </c>
      <c r="AL241" s="98">
        <f t="shared" si="161"/>
        <v>9.8589848747105135E-3</v>
      </c>
      <c r="AM241" s="98" t="str">
        <f t="shared" si="146"/>
        <v>1+0,768267328691419i</v>
      </c>
      <c r="AN241" s="98">
        <f t="shared" si="162"/>
        <v>1.2610450778360973</v>
      </c>
      <c r="AO241" s="98">
        <f t="shared" si="163"/>
        <v>0.65509006015697713</v>
      </c>
      <c r="AP241" s="168" t="str">
        <f t="shared" si="164"/>
        <v>-2,63704556804618+3,50341768406582i</v>
      </c>
      <c r="AQ241" s="98">
        <f t="shared" si="165"/>
        <v>12.83932866608126</v>
      </c>
      <c r="AR241" s="169">
        <f t="shared" si="166"/>
        <v>126.96901742436171</v>
      </c>
      <c r="AS241" s="168" t="str">
        <f t="shared" si="167"/>
        <v>40,7883006760041+37,4674278916524i</v>
      </c>
      <c r="AT241" s="190">
        <f t="shared" si="168"/>
        <v>34.86783668809197</v>
      </c>
      <c r="AU241" s="169">
        <f t="shared" si="169"/>
        <v>42.57004495553106</v>
      </c>
      <c r="AV241" s="225"/>
      <c r="AX241">
        <f t="shared" si="170"/>
        <v>0</v>
      </c>
      <c r="AY241">
        <f t="shared" si="171"/>
        <v>0</v>
      </c>
    </row>
    <row r="242" spans="14:51" x14ac:dyDescent="0.25">
      <c r="N242" s="170">
        <v>24</v>
      </c>
      <c r="O242" s="199">
        <f t="shared" si="172"/>
        <v>1737.8008287493772</v>
      </c>
      <c r="P242" s="189" t="str">
        <f t="shared" si="138"/>
        <v>120,833333333333</v>
      </c>
      <c r="Q242" s="160" t="str">
        <f t="shared" si="139"/>
        <v>1+9,73604113198568i</v>
      </c>
      <c r="R242" s="160">
        <f t="shared" si="147"/>
        <v>9.7872619727744592</v>
      </c>
      <c r="S242" s="160">
        <f t="shared" si="148"/>
        <v>1.4684440922524915</v>
      </c>
      <c r="T242" s="160" t="str">
        <f t="shared" si="140"/>
        <v>1+0,000655135478040155i</v>
      </c>
      <c r="U242" s="160">
        <f t="shared" si="149"/>
        <v>1.0000002146012243</v>
      </c>
      <c r="V242" s="160">
        <f t="shared" si="150"/>
        <v>6.5513538431158532E-4</v>
      </c>
      <c r="W242" s="98" t="str">
        <f t="shared" si="141"/>
        <v>1-0,00560795969202373i</v>
      </c>
      <c r="X242" s="160">
        <f t="shared" si="151"/>
        <v>1.000015724482324</v>
      </c>
      <c r="Y242" s="160">
        <f t="shared" si="152"/>
        <v>-5.6079009044954446E-3</v>
      </c>
      <c r="Z242" s="98" t="str">
        <f t="shared" si="142"/>
        <v>0,999997504172132+0,00217217023381686i</v>
      </c>
      <c r="AA242" s="160">
        <f t="shared" si="153"/>
        <v>0.99999986333699953</v>
      </c>
      <c r="AB242" s="160">
        <f t="shared" si="154"/>
        <v>2.1721722388435148E-3</v>
      </c>
      <c r="AC242" s="171" t="str">
        <f t="shared" si="155"/>
        <v>1,17391702560611-12,290240981906i</v>
      </c>
      <c r="AD242" s="190">
        <f t="shared" si="156"/>
        <v>21.830650492680945</v>
      </c>
      <c r="AE242" s="169">
        <f t="shared" si="157"/>
        <v>-84.543877799872732</v>
      </c>
      <c r="AF242" s="98" t="str">
        <f t="shared" si="143"/>
        <v>-0,0000375877424711299</v>
      </c>
      <c r="AG242" s="98" t="str">
        <f t="shared" si="144"/>
        <v>0,0000110608706542446i</v>
      </c>
      <c r="AH242" s="98">
        <f t="shared" si="158"/>
        <v>1.10608706542446E-5</v>
      </c>
      <c r="AI242" s="98">
        <f t="shared" si="159"/>
        <v>1.5707963267948966</v>
      </c>
      <c r="AJ242" s="98" t="str">
        <f t="shared" si="145"/>
        <v>1+0,0100889570162156i</v>
      </c>
      <c r="AK242" s="98">
        <f t="shared" si="160"/>
        <v>1.0000508922318279</v>
      </c>
      <c r="AL242" s="98">
        <f t="shared" si="161"/>
        <v>1.0088614728716506E-2</v>
      </c>
      <c r="AM242" s="98" t="str">
        <f t="shared" si="146"/>
        <v>1+0,786162573648187i</v>
      </c>
      <c r="AN242" s="98">
        <f t="shared" si="162"/>
        <v>1.2720265689855463</v>
      </c>
      <c r="AO242" s="98">
        <f t="shared" si="163"/>
        <v>0.66624635189590176</v>
      </c>
      <c r="AP242" s="168" t="str">
        <f t="shared" si="164"/>
        <v>-2,63703348851626+3,42486746357563i</v>
      </c>
      <c r="AQ242" s="98">
        <f t="shared" si="165"/>
        <v>12.714620197345049</v>
      </c>
      <c r="AR242" s="169">
        <f t="shared" si="166"/>
        <v>127.59506903453408</v>
      </c>
      <c r="AS242" s="168" t="str">
        <f t="shared" si="167"/>
        <v>38,996787949171+36,4302872771569i</v>
      </c>
      <c r="AT242" s="190">
        <f t="shared" si="168"/>
        <v>34.545270690025994</v>
      </c>
      <c r="AU242" s="169">
        <f t="shared" si="169"/>
        <v>43.051191234661282</v>
      </c>
      <c r="AV242" s="225"/>
      <c r="AX242">
        <f t="shared" si="170"/>
        <v>0</v>
      </c>
      <c r="AY242">
        <f t="shared" si="171"/>
        <v>0</v>
      </c>
    </row>
    <row r="243" spans="14:51" x14ac:dyDescent="0.25">
      <c r="N243" s="170">
        <v>25</v>
      </c>
      <c r="O243" s="199">
        <f t="shared" si="172"/>
        <v>1778.2794100389244</v>
      </c>
      <c r="P243" s="189" t="str">
        <f t="shared" si="138"/>
        <v>120,833333333333</v>
      </c>
      <c r="Q243" s="160" t="str">
        <f t="shared" si="139"/>
        <v>1+9,96282266291817i</v>
      </c>
      <c r="R243" s="160">
        <f t="shared" si="147"/>
        <v>10.012883471445969</v>
      </c>
      <c r="S243" s="160">
        <f t="shared" si="148"/>
        <v>1.4707582219479127</v>
      </c>
      <c r="T243" s="160" t="str">
        <f t="shared" si="140"/>
        <v>1+0,000670395543672995i</v>
      </c>
      <c r="U243" s="160">
        <f t="shared" si="149"/>
        <v>1.0000002247150672</v>
      </c>
      <c r="V243" s="160">
        <f t="shared" si="150"/>
        <v>6.7039544324102435E-4</v>
      </c>
      <c r="W243" s="98" t="str">
        <f t="shared" si="141"/>
        <v>1-0,00573858585384084i</v>
      </c>
      <c r="X243" s="160">
        <f t="shared" si="151"/>
        <v>1.0000164655482437</v>
      </c>
      <c r="Y243" s="160">
        <f t="shared" si="152"/>
        <v>-5.7385228619253924E-3</v>
      </c>
      <c r="Z243" s="98" t="str">
        <f t="shared" si="142"/>
        <v>0,999997386547388+0,00222276657830565i</v>
      </c>
      <c r="AA243" s="160">
        <f t="shared" si="153"/>
        <v>0.99999985689642379</v>
      </c>
      <c r="AB243" s="160">
        <f t="shared" si="154"/>
        <v>2.2227687267302992E-3</v>
      </c>
      <c r="AC243" s="171" t="str">
        <f t="shared" si="155"/>
        <v>1,1176683106123-12,016121483545i</v>
      </c>
      <c r="AD243" s="190">
        <f t="shared" si="156"/>
        <v>21.632698096623887</v>
      </c>
      <c r="AE243" s="169">
        <f t="shared" si="157"/>
        <v>-84.685976379781067</v>
      </c>
      <c r="AF243" s="98" t="str">
        <f t="shared" si="143"/>
        <v>-0,0000375877424711299</v>
      </c>
      <c r="AG243" s="98" t="str">
        <f t="shared" si="144"/>
        <v>0,0000113185114290124i</v>
      </c>
      <c r="AH243" s="98">
        <f t="shared" si="158"/>
        <v>1.13185114290124E-5</v>
      </c>
      <c r="AI243" s="98">
        <f t="shared" si="159"/>
        <v>1.5707963267948966</v>
      </c>
      <c r="AJ243" s="98" t="str">
        <f t="shared" si="145"/>
        <v>1+0,0103239590141152i</v>
      </c>
      <c r="AK243" s="98">
        <f t="shared" si="160"/>
        <v>1.0000532906449162</v>
      </c>
      <c r="AL243" s="98">
        <f t="shared" si="161"/>
        <v>1.0323592247507535E-2</v>
      </c>
      <c r="AM243" s="98" t="str">
        <f t="shared" si="146"/>
        <v>1+0,804474652407595i</v>
      </c>
      <c r="AN243" s="98">
        <f t="shared" si="162"/>
        <v>1.2834248970494224</v>
      </c>
      <c r="AO243" s="98">
        <f t="shared" si="163"/>
        <v>0.67746343952169641</v>
      </c>
      <c r="AP243" s="168" t="str">
        <f t="shared" si="164"/>
        <v>-2,63702083981421+3,34813314165916i</v>
      </c>
      <c r="AQ243" s="98">
        <f t="shared" si="165"/>
        <v>12.592084912186987</v>
      </c>
      <c r="AR243" s="169">
        <f t="shared" si="166"/>
        <v>128.22429759381328</v>
      </c>
      <c r="AS243" s="168" t="str">
        <f t="shared" si="167"/>
        <v>37,2842599461751+35,4288650779907i</v>
      </c>
      <c r="AT243" s="190">
        <f t="shared" si="168"/>
        <v>34.224783008810881</v>
      </c>
      <c r="AU243" s="169">
        <f t="shared" si="169"/>
        <v>43.538321214032244</v>
      </c>
      <c r="AV243" s="225"/>
      <c r="AX243">
        <f t="shared" si="170"/>
        <v>0</v>
      </c>
      <c r="AY243">
        <f t="shared" si="171"/>
        <v>0</v>
      </c>
    </row>
    <row r="244" spans="14:51" x14ac:dyDescent="0.25">
      <c r="N244" s="170">
        <v>26</v>
      </c>
      <c r="O244" s="199">
        <f t="shared" si="172"/>
        <v>1819.7008586099832</v>
      </c>
      <c r="P244" s="189" t="str">
        <f t="shared" si="138"/>
        <v>120,833333333333</v>
      </c>
      <c r="Q244" s="160" t="str">
        <f t="shared" si="139"/>
        <v>1+10,1948866143i</v>
      </c>
      <c r="R244" s="160">
        <f t="shared" si="147"/>
        <v>10.24381340509643</v>
      </c>
      <c r="S244" s="160">
        <f t="shared" si="148"/>
        <v>1.4730207148859447</v>
      </c>
      <c r="T244" s="160" t="str">
        <f t="shared" si="140"/>
        <v>1+0,000686011061896817i</v>
      </c>
      <c r="U244" s="160">
        <f t="shared" si="149"/>
        <v>1.0000002353055608</v>
      </c>
      <c r="V244" s="160">
        <f t="shared" si="150"/>
        <v>6.86010954282023E-4</v>
      </c>
      <c r="W244" s="98" t="str">
        <f t="shared" si="141"/>
        <v>1-0,00587225468983675i</v>
      </c>
      <c r="X244" s="160">
        <f t="shared" si="151"/>
        <v>1.0000172415389357</v>
      </c>
      <c r="Y244" s="160">
        <f t="shared" si="152"/>
        <v>-5.8721871928461254E-3</v>
      </c>
      <c r="Z244" s="98" t="str">
        <f t="shared" si="142"/>
        <v>0,999997263379161+0,00227454146305602i</v>
      </c>
      <c r="AA244" s="160">
        <f t="shared" si="153"/>
        <v>0.99999985015232795</v>
      </c>
      <c r="AB244" s="160">
        <f t="shared" si="154"/>
        <v>2.2745437651343729E-3</v>
      </c>
      <c r="AC244" s="171" t="str">
        <f t="shared" si="155"/>
        <v>1,06390181728838-11,7478695902248i</v>
      </c>
      <c r="AD244" s="190">
        <f t="shared" si="156"/>
        <v>21.434655045327645</v>
      </c>
      <c r="AE244" s="169">
        <f t="shared" si="157"/>
        <v>-84.825337866648752</v>
      </c>
      <c r="AF244" s="98" t="str">
        <f t="shared" si="143"/>
        <v>-0,0000375877424711299</v>
      </c>
      <c r="AG244" s="98" t="str">
        <f t="shared" si="144"/>
        <v>0,000011582153428358i</v>
      </c>
      <c r="AH244" s="98">
        <f t="shared" si="158"/>
        <v>1.1582153428357999E-5</v>
      </c>
      <c r="AI244" s="98">
        <f t="shared" si="159"/>
        <v>1.5707963267948966</v>
      </c>
      <c r="AJ244" s="98" t="str">
        <f t="shared" si="145"/>
        <v>1+0,0105644349117377i</v>
      </c>
      <c r="AK244" s="98">
        <f t="shared" si="160"/>
        <v>1.0000558020855657</v>
      </c>
      <c r="AL244" s="98">
        <f t="shared" si="161"/>
        <v>1.0564041915421414E-2</v>
      </c>
      <c r="AM244" s="98" t="str">
        <f t="shared" si="146"/>
        <v>1+0,823213274276181i</v>
      </c>
      <c r="AN244" s="98">
        <f t="shared" si="162"/>
        <v>1.2952529077151345</v>
      </c>
      <c r="AO244" s="98">
        <f t="shared" si="163"/>
        <v>0.68873598015494153</v>
      </c>
      <c r="AP244" s="168" t="str">
        <f t="shared" si="164"/>
        <v>-2,63700759512725+3,27317403194178i</v>
      </c>
      <c r="AQ244" s="98">
        <f t="shared" si="165"/>
        <v>12.471745419886473</v>
      </c>
      <c r="AR244" s="169">
        <f t="shared" si="166"/>
        <v>128.85638984533122</v>
      </c>
      <c r="AS244" s="168" t="str">
        <f t="shared" si="167"/>
        <v>35,6473045007032+34,4615571368712i</v>
      </c>
      <c r="AT244" s="190">
        <f t="shared" si="168"/>
        <v>33.906400465214112</v>
      </c>
      <c r="AU244" s="169">
        <f t="shared" si="169"/>
        <v>44.031051978682441</v>
      </c>
      <c r="AV244" s="225"/>
      <c r="AX244">
        <f t="shared" si="170"/>
        <v>0</v>
      </c>
      <c r="AY244">
        <f t="shared" si="171"/>
        <v>0</v>
      </c>
    </row>
    <row r="245" spans="14:51" x14ac:dyDescent="0.25">
      <c r="N245" s="170">
        <v>27</v>
      </c>
      <c r="O245" s="199">
        <f t="shared" si="172"/>
        <v>1862.0871366628687</v>
      </c>
      <c r="P245" s="189" t="str">
        <f t="shared" si="138"/>
        <v>120,833333333333</v>
      </c>
      <c r="Q245" s="160" t="str">
        <f t="shared" si="139"/>
        <v>1+10,43235602951i</v>
      </c>
      <c r="R245" s="160">
        <f t="shared" si="147"/>
        <v>10.480174250767668</v>
      </c>
      <c r="S245" s="160">
        <f t="shared" si="148"/>
        <v>1.4752326779681011</v>
      </c>
      <c r="T245" s="160" t="str">
        <f t="shared" si="140"/>
        <v>1+0,000701990312266091i</v>
      </c>
      <c r="U245" s="160">
        <f t="shared" si="149"/>
        <v>1.0000002463951689</v>
      </c>
      <c r="V245" s="160">
        <f t="shared" si="150"/>
        <v>7.0199019695476315E-4</v>
      </c>
      <c r="W245" s="98" t="str">
        <f t="shared" si="141"/>
        <v>1-0,00600903707299774i</v>
      </c>
      <c r="X245" s="160">
        <f t="shared" si="151"/>
        <v>1.000018054100297</v>
      </c>
      <c r="Y245" s="160">
        <f t="shared" si="152"/>
        <v>-6.0089647487397606E-3</v>
      </c>
      <c r="Z245" s="98" t="str">
        <f t="shared" si="142"/>
        <v>0,999997134406195+0,00232752233979724i</v>
      </c>
      <c r="AA245" s="160">
        <f t="shared" si="153"/>
        <v>0.99999984309040968</v>
      </c>
      <c r="AB245" s="160">
        <f t="shared" si="154"/>
        <v>2.3275248065184845E-3</v>
      </c>
      <c r="AC245" s="171" t="str">
        <f t="shared" si="155"/>
        <v>1,01251011208456-11,4853760439735i</v>
      </c>
      <c r="AD245" s="190">
        <f t="shared" si="156"/>
        <v>21.236525369433494</v>
      </c>
      <c r="AE245" s="169">
        <f t="shared" si="157"/>
        <v>-84.962030839280459</v>
      </c>
      <c r="AF245" s="98" t="str">
        <f t="shared" si="143"/>
        <v>-0,0000375877424711299</v>
      </c>
      <c r="AG245" s="98" t="str">
        <f t="shared" si="144"/>
        <v>0,0000118519364387592i</v>
      </c>
      <c r="AH245" s="98">
        <f t="shared" si="158"/>
        <v>1.18519364387592E-5</v>
      </c>
      <c r="AI245" s="98">
        <f t="shared" si="159"/>
        <v>1.5707963267948966</v>
      </c>
      <c r="AJ245" s="98" t="str">
        <f t="shared" si="145"/>
        <v>1+0,0108105122125874i</v>
      </c>
      <c r="AK245" s="98">
        <f t="shared" si="160"/>
        <v>1.000058431880007</v>
      </c>
      <c r="AL245" s="98">
        <f t="shared" si="161"/>
        <v>1.0810091110776458E-2</v>
      </c>
      <c r="AM245" s="98" t="str">
        <f t="shared" si="146"/>
        <v>1+0,84238837471931i</v>
      </c>
      <c r="AN245" s="98">
        <f t="shared" si="162"/>
        <v>1.3075236800388133</v>
      </c>
      <c r="AO245" s="98">
        <f t="shared" si="163"/>
        <v>0.70005849211518112</v>
      </c>
      <c r="AP245" s="168" t="str">
        <f t="shared" si="164"/>
        <v>-2,63699372638004+3,19995038923106i</v>
      </c>
      <c r="AQ245" s="98">
        <f t="shared" si="165"/>
        <v>12.353622319802078</v>
      </c>
      <c r="AR245" s="169">
        <f t="shared" si="166"/>
        <v>129.49102441369297</v>
      </c>
      <c r="AS245" s="168" t="str">
        <f t="shared" si="167"/>
        <v>34,0826507289148+33,5268467003391i</v>
      </c>
      <c r="AT245" s="190">
        <f t="shared" si="168"/>
        <v>33.590147689235572</v>
      </c>
      <c r="AU245" s="169">
        <f t="shared" si="169"/>
        <v>44.528993574412468</v>
      </c>
      <c r="AV245" s="225"/>
      <c r="AX245">
        <f t="shared" si="170"/>
        <v>0</v>
      </c>
      <c r="AY245">
        <f t="shared" si="171"/>
        <v>0</v>
      </c>
    </row>
    <row r="246" spans="14:51" x14ac:dyDescent="0.25">
      <c r="N246" s="170">
        <v>28</v>
      </c>
      <c r="O246" s="199">
        <f t="shared" si="172"/>
        <v>1905.4607179632501</v>
      </c>
      <c r="P246" s="189" t="str">
        <f t="shared" si="138"/>
        <v>120,833333333333</v>
      </c>
      <c r="Q246" s="160" t="str">
        <f t="shared" si="139"/>
        <v>1+10,6753568179756i</v>
      </c>
      <c r="R246" s="160">
        <f t="shared" si="147"/>
        <v>10.722091362747202</v>
      </c>
      <c r="S246" s="160">
        <f t="shared" si="148"/>
        <v>1.477395197377666</v>
      </c>
      <c r="T246" s="160" t="str">
        <f t="shared" si="140"/>
        <v>1+0,000718341767190875i</v>
      </c>
      <c r="U246" s="160">
        <f t="shared" si="149"/>
        <v>1.0000002580074141</v>
      </c>
      <c r="V246" s="160">
        <f t="shared" si="150"/>
        <v>7.1834164363256288E-4</v>
      </c>
      <c r="W246" s="98" t="str">
        <f t="shared" si="141"/>
        <v>1-0,00614900552715389i</v>
      </c>
      <c r="X246" s="160">
        <f t="shared" si="151"/>
        <v>1.0000189049557877</v>
      </c>
      <c r="Y246" s="160">
        <f t="shared" si="152"/>
        <v>-6.1489280303943534E-3</v>
      </c>
      <c r="Z246" s="98" t="str">
        <f t="shared" si="142"/>
        <v>0,999996999354919+0,00238173729969144i</v>
      </c>
      <c r="AA246" s="160">
        <f t="shared" si="153"/>
        <v>0.99999983569568984</v>
      </c>
      <c r="AB246" s="160">
        <f t="shared" si="154"/>
        <v>2.3817399428307062E-3</v>
      </c>
      <c r="AC246" s="171" t="str">
        <f t="shared" si="155"/>
        <v>0,963390227486379-11,2285325071177i</v>
      </c>
      <c r="AD246" s="190">
        <f t="shared" si="156"/>
        <v>21.038312926297174</v>
      </c>
      <c r="AE246" s="169">
        <f t="shared" si="157"/>
        <v>-85.096122809502091</v>
      </c>
      <c r="AF246" s="98" t="str">
        <f t="shared" si="143"/>
        <v>-0,0000375877424711299</v>
      </c>
      <c r="AG246" s="98" t="str">
        <f t="shared" si="144"/>
        <v>0,0000121280035027392i</v>
      </c>
      <c r="AH246" s="98">
        <f t="shared" si="158"/>
        <v>1.2128003502739201E-5</v>
      </c>
      <c r="AI246" s="98">
        <f t="shared" si="159"/>
        <v>1.5707963267948966</v>
      </c>
      <c r="AJ246" s="98" t="str">
        <f t="shared" si="145"/>
        <v>1+0,0110623213901063i</v>
      </c>
      <c r="AK246" s="98">
        <f t="shared" si="160"/>
        <v>1.0000611856054298</v>
      </c>
      <c r="AL246" s="98">
        <f t="shared" si="161"/>
        <v>1.1061870172877382E-2</v>
      </c>
      <c r="AM246" s="98" t="str">
        <f t="shared" si="146"/>
        <v>1+0,862010120629051i</v>
      </c>
      <c r="AN246" s="98">
        <f t="shared" si="162"/>
        <v>1.3202505247364649</v>
      </c>
      <c r="AO246" s="98">
        <f t="shared" si="163"/>
        <v>0.71142536721892569</v>
      </c>
      <c r="AP246" s="168" t="str">
        <f t="shared" si="164"/>
        <v>-2,63697920417528+3,12842338843924i</v>
      </c>
      <c r="AQ246" s="98">
        <f t="shared" si="165"/>
        <v>12.237734119228028</v>
      </c>
      <c r="AR246" s="169">
        <f t="shared" si="166"/>
        <v>130.1278725057617</v>
      </c>
      <c r="AS246" s="168" t="str">
        <f t="shared" si="167"/>
        <v>32,58716371773+32,6232992345377i</v>
      </c>
      <c r="AT246" s="190">
        <f t="shared" si="168"/>
        <v>33.276047045525196</v>
      </c>
      <c r="AU246" s="169">
        <f t="shared" si="169"/>
        <v>45.031749696259659</v>
      </c>
      <c r="AV246" s="225"/>
      <c r="AX246">
        <f t="shared" si="170"/>
        <v>0</v>
      </c>
      <c r="AY246">
        <f t="shared" si="171"/>
        <v>0</v>
      </c>
    </row>
    <row r="247" spans="14:51" x14ac:dyDescent="0.25">
      <c r="N247" s="170">
        <v>29</v>
      </c>
      <c r="O247" s="199">
        <f t="shared" si="172"/>
        <v>1949.8445997580463</v>
      </c>
      <c r="P247" s="189" t="str">
        <f t="shared" si="138"/>
        <v>120,833333333333</v>
      </c>
      <c r="Q247" s="160" t="str">
        <f t="shared" si="139"/>
        <v>1+10,9240178219309i</v>
      </c>
      <c r="R247" s="160">
        <f t="shared" si="147"/>
        <v>10.969693039181356</v>
      </c>
      <c r="S247" s="160">
        <f t="shared" si="148"/>
        <v>1.4795093387624578</v>
      </c>
      <c r="T247" s="160" t="str">
        <f t="shared" si="140"/>
        <v>1+0,000735074096428991i</v>
      </c>
      <c r="U247" s="160">
        <f t="shared" si="149"/>
        <v>1.0000002701669271</v>
      </c>
      <c r="V247" s="160">
        <f t="shared" si="150"/>
        <v>7.3507396403387621E-4</v>
      </c>
      <c r="W247" s="98" t="str">
        <f t="shared" si="141"/>
        <v>1-0,00629223426543216i</v>
      </c>
      <c r="X247" s="160">
        <f t="shared" si="151"/>
        <v>1.0000197959100865</v>
      </c>
      <c r="Y247" s="160">
        <f t="shared" si="152"/>
        <v>-6.2921512262470031E-3</v>
      </c>
      <c r="Z247" s="98" t="str">
        <f t="shared" si="142"/>
        <v>0,999996857938873+0,00243721508822792i</v>
      </c>
      <c r="AA247" s="160">
        <f t="shared" si="153"/>
        <v>0.99999982795248776</v>
      </c>
      <c r="AB247" s="160">
        <f t="shared" si="154"/>
        <v>2.4372179204024797E-3</v>
      </c>
      <c r="AC247" s="171" t="str">
        <f t="shared" si="155"/>
        <v>0,916443492517905-10,9772316399588i</v>
      </c>
      <c r="AD247" s="190">
        <f t="shared" si="156"/>
        <v>20.840021407268189</v>
      </c>
      <c r="AE247" s="169">
        <f t="shared" si="157"/>
        <v>-85.227680235425638</v>
      </c>
      <c r="AF247" s="98" t="str">
        <f t="shared" si="143"/>
        <v>-0,0000375877424711299</v>
      </c>
      <c r="AG247" s="98" t="str">
        <f t="shared" si="144"/>
        <v>0,0000124105009947095i</v>
      </c>
      <c r="AH247" s="98">
        <f t="shared" si="158"/>
        <v>1.24105009947095E-5</v>
      </c>
      <c r="AI247" s="98">
        <f t="shared" si="159"/>
        <v>1.5707963267948966</v>
      </c>
      <c r="AJ247" s="98" t="str">
        <f t="shared" si="145"/>
        <v>1+0,0113199959568532i</v>
      </c>
      <c r="AK247" s="98">
        <f t="shared" si="160"/>
        <v>1.0000640691018066</v>
      </c>
      <c r="AL247" s="98">
        <f t="shared" si="161"/>
        <v>1.1319512470554452E-2</v>
      </c>
      <c r="AM247" s="98" t="str">
        <f t="shared" si="146"/>
        <v>1+0,88208891571479i</v>
      </c>
      <c r="AN247" s="98">
        <f t="shared" si="162"/>
        <v>1.3334469825331992</v>
      </c>
      <c r="AO247" s="98">
        <f t="shared" si="163"/>
        <v>0.72283088384156924</v>
      </c>
      <c r="AP247" s="168" t="str">
        <f t="shared" si="164"/>
        <v>-2,63696399773148+3,05855510399313i</v>
      </c>
      <c r="AQ247" s="98">
        <f t="shared" si="165"/>
        <v>12.12409715854843</v>
      </c>
      <c r="AR247" s="169">
        <f t="shared" si="166"/>
        <v>130.76659865512448</v>
      </c>
      <c r="AS247" s="168" t="str">
        <f t="shared" si="167"/>
        <v>31,1578393643859+31,7495575508922i</v>
      </c>
      <c r="AT247" s="190">
        <f t="shared" si="168"/>
        <v>32.964118565816634</v>
      </c>
      <c r="AU247" s="169">
        <f t="shared" si="169"/>
        <v>45.538918419698824</v>
      </c>
      <c r="AV247" s="225"/>
      <c r="AX247">
        <f t="shared" si="170"/>
        <v>0</v>
      </c>
      <c r="AY247">
        <f t="shared" si="171"/>
        <v>0</v>
      </c>
    </row>
    <row r="248" spans="14:51" x14ac:dyDescent="0.25">
      <c r="N248" s="170">
        <v>30</v>
      </c>
      <c r="O248" s="199">
        <f t="shared" si="172"/>
        <v>1995.2623149688804</v>
      </c>
      <c r="P248" s="189" t="str">
        <f t="shared" si="138"/>
        <v>120,833333333333</v>
      </c>
      <c r="Q248" s="160" t="str">
        <f t="shared" si="139"/>
        <v>1+11,178470884732i</v>
      </c>
      <c r="R248" s="160">
        <f t="shared" si="147"/>
        <v>11.223110590241951</v>
      </c>
      <c r="S248" s="160">
        <f t="shared" si="148"/>
        <v>1.481576147431662</v>
      </c>
      <c r="T248" s="160" t="str">
        <f t="shared" si="140"/>
        <v>1+0,000752196171682894i</v>
      </c>
      <c r="U248" s="160">
        <f t="shared" si="149"/>
        <v>1.0000002828995003</v>
      </c>
      <c r="V248" s="160">
        <f t="shared" si="150"/>
        <v>7.5219602981897477E-4</v>
      </c>
      <c r="W248" s="98" t="str">
        <f t="shared" si="141"/>
        <v>1-0,00643879922960558i</v>
      </c>
      <c r="X248" s="160">
        <f t="shared" si="151"/>
        <v>1.000020728852917</v>
      </c>
      <c r="Y248" s="160">
        <f t="shared" si="152"/>
        <v>-6.4387102516152055E-3</v>
      </c>
      <c r="Z248" s="98" t="str">
        <f t="shared" si="142"/>
        <v>0,999996709858095+0,00249398512046455i</v>
      </c>
      <c r="AA248" s="160">
        <f t="shared" si="153"/>
        <v>0.9999998198443818</v>
      </c>
      <c r="AB248" s="160">
        <f t="shared" si="154"/>
        <v>2.4939881551940511E-3</v>
      </c>
      <c r="AC248" s="171" t="str">
        <f t="shared" si="155"/>
        <v>0,871575368225189-10,7313671707226i</v>
      </c>
      <c r="AD248" s="190">
        <f t="shared" si="156"/>
        <v>20.641654344691688</v>
      </c>
      <c r="AE248" s="169">
        <f t="shared" si="157"/>
        <v>-85.356768535584749</v>
      </c>
      <c r="AF248" s="98" t="str">
        <f t="shared" si="143"/>
        <v>-0,0000375877424711299</v>
      </c>
      <c r="AG248" s="98" t="str">
        <f t="shared" si="144"/>
        <v>0,0000126995786985796i</v>
      </c>
      <c r="AH248" s="98">
        <f t="shared" si="158"/>
        <v>1.2699578698579599E-5</v>
      </c>
      <c r="AI248" s="98">
        <f t="shared" si="159"/>
        <v>1.5707963267948966</v>
      </c>
      <c r="AJ248" s="98" t="str">
        <f t="shared" si="145"/>
        <v>1+0,0115836725352943i</v>
      </c>
      <c r="AK248" s="98">
        <f t="shared" si="160"/>
        <v>1.0000670884842702</v>
      </c>
      <c r="AL248" s="98">
        <f t="shared" si="161"/>
        <v>1.1583154472268372E-2</v>
      </c>
      <c r="AM248" s="98" t="str">
        <f t="shared" si="146"/>
        <v>1+0,902635406019474i</v>
      </c>
      <c r="AN248" s="98">
        <f t="shared" si="162"/>
        <v>1.347126822611717</v>
      </c>
      <c r="AO248" s="98">
        <f t="shared" si="163"/>
        <v>0.73426922067472833</v>
      </c>
      <c r="AP248" s="168" t="str">
        <f t="shared" si="164"/>
        <v>-2,63694807481805+2,99030848972067i</v>
      </c>
      <c r="AQ248" s="98">
        <f t="shared" si="165"/>
        <v>12.012725544316762</v>
      </c>
      <c r="AR248" s="169">
        <f t="shared" si="166"/>
        <v>131.40686150631291</v>
      </c>
      <c r="AS248" s="168" t="str">
        <f t="shared" si="167"/>
        <v>29,7917993676212+30,9043372240378i</v>
      </c>
      <c r="AT248" s="190">
        <f t="shared" si="168"/>
        <v>32.654379889008446</v>
      </c>
      <c r="AU248" s="169">
        <f t="shared" si="169"/>
        <v>46.050092970728215</v>
      </c>
      <c r="AV248" s="225"/>
      <c r="AX248">
        <f t="shared" si="170"/>
        <v>0</v>
      </c>
      <c r="AY248">
        <f t="shared" si="171"/>
        <v>0</v>
      </c>
    </row>
    <row r="249" spans="14:51" x14ac:dyDescent="0.25">
      <c r="N249" s="170">
        <v>31</v>
      </c>
      <c r="O249" s="199">
        <f t="shared" si="172"/>
        <v>2041.7379446695318</v>
      </c>
      <c r="P249" s="189" t="str">
        <f t="shared" si="138"/>
        <v>120,833333333333</v>
      </c>
      <c r="Q249" s="160" t="str">
        <f t="shared" si="139"/>
        <v>1+11,4388509207606i</v>
      </c>
      <c r="R249" s="160">
        <f t="shared" si="147"/>
        <v>11.482478407878048</v>
      </c>
      <c r="S249" s="160">
        <f t="shared" si="148"/>
        <v>1.4835966485652619</v>
      </c>
      <c r="T249" s="160" t="str">
        <f t="shared" si="140"/>
        <v>1+0,000769717071303514i</v>
      </c>
      <c r="U249" s="160">
        <f t="shared" si="149"/>
        <v>1.000000296232141</v>
      </c>
      <c r="V249" s="160">
        <f t="shared" si="150"/>
        <v>7.6971691929358823E-4</v>
      </c>
      <c r="W249" s="98" t="str">
        <f t="shared" si="141"/>
        <v>1-0,00658877813035809i</v>
      </c>
      <c r="X249" s="160">
        <f t="shared" si="151"/>
        <v>1.0000217057630554</v>
      </c>
      <c r="Y249" s="160">
        <f t="shared" si="152"/>
        <v>-6.5886827888354295E-3</v>
      </c>
      <c r="Z249" s="98" t="str">
        <f t="shared" si="142"/>
        <v>0,999996554798484+0,00255207749662384i</v>
      </c>
      <c r="AA249" s="160">
        <f t="shared" si="153"/>
        <v>0.99999981135417526</v>
      </c>
      <c r="AB249" s="160">
        <f t="shared" si="154"/>
        <v>2.5520807483948474E-3</v>
      </c>
      <c r="AC249" s="171" t="str">
        <f t="shared" si="155"/>
        <v>0,82869528813422-10,4908339582974i</v>
      </c>
      <c r="AD249" s="190">
        <f t="shared" si="156"/>
        <v>20.443215118647103</v>
      </c>
      <c r="AE249" s="169">
        <f t="shared" si="157"/>
        <v>-85.483452103858184</v>
      </c>
      <c r="AF249" s="98" t="str">
        <f t="shared" si="143"/>
        <v>-0,0000375877424711299</v>
      </c>
      <c r="AG249" s="98" t="str">
        <f t="shared" si="144"/>
        <v>0,0000129953898871744i</v>
      </c>
      <c r="AH249" s="98">
        <f t="shared" si="158"/>
        <v>1.29953898871744E-5</v>
      </c>
      <c r="AI249" s="98">
        <f t="shared" si="159"/>
        <v>1.5707963267948966</v>
      </c>
      <c r="AJ249" s="98" t="str">
        <f t="shared" si="145"/>
        <v>1+0,0118534909302417i</v>
      </c>
      <c r="AK249" s="98">
        <f t="shared" si="160"/>
        <v>1.0000702501560745</v>
      </c>
      <c r="AL249" s="98">
        <f t="shared" si="161"/>
        <v>1.1852935817814096E-2</v>
      </c>
      <c r="AM249" s="98" t="str">
        <f t="shared" si="146"/>
        <v>1+0,923660485564218i</v>
      </c>
      <c r="AN249" s="98">
        <f t="shared" si="162"/>
        <v>1.3613040412019377</v>
      </c>
      <c r="AO249" s="98">
        <f t="shared" si="163"/>
        <v>0.74573447110259661</v>
      </c>
      <c r="AP249" s="168" t="str">
        <f t="shared" si="164"/>
        <v>-2,63693140168695+2,9236473592034i</v>
      </c>
      <c r="AQ249" s="98">
        <f t="shared" si="165"/>
        <v>11.903631090829352</v>
      </c>
      <c r="AR249" s="169">
        <f t="shared" si="166"/>
        <v>132.04831463439928</v>
      </c>
      <c r="AS249" s="168" t="str">
        <f t="shared" si="167"/>
        <v>28,4862863703064+30,0864222852561i</v>
      </c>
      <c r="AT249" s="190">
        <f t="shared" si="168"/>
        <v>32.346846209476453</v>
      </c>
      <c r="AU249" s="169">
        <f t="shared" si="169"/>
        <v>46.564862530541049</v>
      </c>
      <c r="AV249" s="225"/>
      <c r="AX249">
        <f t="shared" si="170"/>
        <v>0</v>
      </c>
      <c r="AY249">
        <f t="shared" si="171"/>
        <v>0</v>
      </c>
    </row>
    <row r="250" spans="14:51" x14ac:dyDescent="0.25">
      <c r="N250" s="170">
        <v>32</v>
      </c>
      <c r="O250" s="199">
        <f t="shared" si="172"/>
        <v>2089.2961308540398</v>
      </c>
      <c r="P250" s="189" t="str">
        <f t="shared" si="138"/>
        <v>120,833333333333</v>
      </c>
      <c r="Q250" s="160" t="str">
        <f t="shared" si="139"/>
        <v>1+11,7052959869587i</v>
      </c>
      <c r="R250" s="160">
        <f t="shared" si="147"/>
        <v>11.747934037196131</v>
      </c>
      <c r="S250" s="160">
        <f t="shared" si="148"/>
        <v>1.4855718474347916</v>
      </c>
      <c r="T250" s="160" t="str">
        <f t="shared" si="140"/>
        <v>1+0,000787646085103757i</v>
      </c>
      <c r="U250" s="160">
        <f t="shared" si="149"/>
        <v>1.0000003101931296</v>
      </c>
      <c r="V250" s="160">
        <f t="shared" si="150"/>
        <v>7.8764592222218958E-4</v>
      </c>
      <c r="W250" s="98" t="str">
        <f t="shared" si="141"/>
        <v>1-0,00674225048848816i</v>
      </c>
      <c r="X250" s="160">
        <f t="shared" si="151"/>
        <v>1.0000227287125276</v>
      </c>
      <c r="Y250" s="160">
        <f t="shared" si="152"/>
        <v>-6.7421483283314418E-3</v>
      </c>
      <c r="Z250" s="98" t="str">
        <f t="shared" si="142"/>
        <v>0,999996392431138+0,0026115230180526i</v>
      </c>
      <c r="AA250" s="160">
        <f t="shared" si="153"/>
        <v>0.99999980246386266</v>
      </c>
      <c r="AB250" s="160">
        <f t="shared" si="154"/>
        <v>2.6115265023877437E-3</v>
      </c>
      <c r="AC250" s="171" t="str">
        <f t="shared" si="155"/>
        <v>0,787716503658499-10,2555280482336i</v>
      </c>
      <c r="AD250" s="190">
        <f t="shared" si="156"/>
        <v>20.24470696342572</v>
      </c>
      <c r="AE250" s="169">
        <f t="shared" si="157"/>
        <v>-85.607794325110106</v>
      </c>
      <c r="AF250" s="98" t="str">
        <f t="shared" si="143"/>
        <v>-0,0000375877424711299</v>
      </c>
      <c r="AG250" s="98" t="str">
        <f t="shared" si="144"/>
        <v>0,0000132980914035017i</v>
      </c>
      <c r="AH250" s="98">
        <f t="shared" si="158"/>
        <v>1.3298091403501699E-5</v>
      </c>
      <c r="AI250" s="98">
        <f t="shared" si="159"/>
        <v>1.5707963267948966</v>
      </c>
      <c r="AJ250" s="98" t="str">
        <f t="shared" si="145"/>
        <v>1+0,0121295942029799i</v>
      </c>
      <c r="AK250" s="98">
        <f t="shared" si="160"/>
        <v>1.0000735608221671</v>
      </c>
      <c r="AL250" s="98">
        <f t="shared" si="161"/>
        <v>1.2128999391660105E-2</v>
      </c>
      <c r="AM250" s="98" t="str">
        <f t="shared" si="146"/>
        <v>1+0,945175302124509i</v>
      </c>
      <c r="AN250" s="98">
        <f t="shared" si="162"/>
        <v>1.3759928603543541</v>
      </c>
      <c r="AO250" s="98">
        <f t="shared" si="163"/>
        <v>0.7572206581141</v>
      </c>
      <c r="AP250" s="168" t="str">
        <f t="shared" si="164"/>
        <v>-2,63691394300139+2,85853636658434i</v>
      </c>
      <c r="AQ250" s="98">
        <f t="shared" si="165"/>
        <v>11.796823270697862</v>
      </c>
      <c r="AR250" s="169">
        <f t="shared" si="166"/>
        <v>132.69060739519776</v>
      </c>
      <c r="AS250" s="168" t="str">
        <f t="shared" si="167"/>
        <v>27,2386592527721+29,2946611754955i</v>
      </c>
      <c r="AT250" s="190">
        <f t="shared" si="168"/>
        <v>32.041530234123591</v>
      </c>
      <c r="AU250" s="169">
        <f t="shared" si="169"/>
        <v>47.082813070087624</v>
      </c>
      <c r="AV250" s="225"/>
      <c r="AX250">
        <f t="shared" si="170"/>
        <v>0</v>
      </c>
      <c r="AY250">
        <f t="shared" si="171"/>
        <v>0</v>
      </c>
    </row>
    <row r="251" spans="14:51" x14ac:dyDescent="0.25">
      <c r="N251" s="170">
        <v>33</v>
      </c>
      <c r="O251" s="199">
        <f t="shared" si="172"/>
        <v>2137.9620895022344</v>
      </c>
      <c r="P251" s="189" t="str">
        <f t="shared" si="138"/>
        <v>120,833333333333</v>
      </c>
      <c r="Q251" s="160" t="str">
        <f t="shared" si="139"/>
        <v>1+11,9779473560268i</v>
      </c>
      <c r="R251" s="160">
        <f t="shared" si="147"/>
        <v>12.019618249501496</v>
      </c>
      <c r="S251" s="160">
        <f t="shared" si="148"/>
        <v>1.4875027296341257</v>
      </c>
      <c r="T251" s="160" t="str">
        <f t="shared" si="140"/>
        <v>1+0,000805992719284042i</v>
      </c>
      <c r="U251" s="160">
        <f t="shared" si="149"/>
        <v>1.000000324812079</v>
      </c>
      <c r="V251" s="160">
        <f t="shared" si="150"/>
        <v>8.0599254475330112E-4</v>
      </c>
      <c r="W251" s="98" t="str">
        <f t="shared" si="141"/>
        <v>1-0,00689929767707141i</v>
      </c>
      <c r="X251" s="160">
        <f t="shared" si="151"/>
        <v>1.0000237998710015</v>
      </c>
      <c r="Y251" s="160">
        <f t="shared" si="152"/>
        <v>-6.8991882106319655E-3</v>
      </c>
      <c r="Z251" s="98" t="str">
        <f t="shared" si="142"/>
        <v>0,999996222411656+0,00267235320355311i</v>
      </c>
      <c r="AA251" s="160">
        <f t="shared" si="153"/>
        <v>0.99999979315459187</v>
      </c>
      <c r="AB251" s="160">
        <f t="shared" si="154"/>
        <v>2.6723569370851801E-3</v>
      </c>
      <c r="AC251" s="171" t="str">
        <f t="shared" si="155"/>
        <v>0,74855593441883-10,0253467224674i</v>
      </c>
      <c r="AD251" s="190">
        <f t="shared" si="156"/>
        <v>20.046132973761772</v>
      </c>
      <c r="AE251" s="169">
        <f t="shared" si="157"/>
        <v>-85.729857591474712</v>
      </c>
      <c r="AF251" s="98" t="str">
        <f t="shared" si="143"/>
        <v>-0,0000375877424711299</v>
      </c>
      <c r="AG251" s="98" t="str">
        <f t="shared" si="144"/>
        <v>0,0000136078437439123i</v>
      </c>
      <c r="AH251" s="98">
        <f t="shared" si="158"/>
        <v>1.36078437439123E-5</v>
      </c>
      <c r="AI251" s="98">
        <f t="shared" si="159"/>
        <v>1.5707963267948966</v>
      </c>
      <c r="AJ251" s="98" t="str">
        <f t="shared" si="145"/>
        <v>1+0,0124121287471185i</v>
      </c>
      <c r="AK251" s="98">
        <f t="shared" si="160"/>
        <v>1.0000770275033994</v>
      </c>
      <c r="AL251" s="98">
        <f t="shared" si="161"/>
        <v>1.2411491397957624E-2</v>
      </c>
      <c r="AM251" s="98" t="str">
        <f t="shared" si="146"/>
        <v>1+0,967191263140852i</v>
      </c>
      <c r="AN251" s="98">
        <f t="shared" si="162"/>
        <v>1.3912077269394376</v>
      </c>
      <c r="AO251" s="98">
        <f t="shared" si="163"/>
        <v>0.76872174966118345</v>
      </c>
      <c r="AP251" s="168" t="str">
        <f t="shared" si="164"/>
        <v>-2,63689566176106+2,79494098782129i</v>
      </c>
      <c r="AQ251" s="98">
        <f t="shared" si="165"/>
        <v>11.69230917485211</v>
      </c>
      <c r="AR251" s="169">
        <f t="shared" si="166"/>
        <v>133.33338580093218</v>
      </c>
      <c r="AS251" s="168" t="str">
        <f t="shared" si="167"/>
        <v>26,0463885756895+28,5279629429088i</v>
      </c>
      <c r="AT251" s="190">
        <f t="shared" si="168"/>
        <v>31.738442148613885</v>
      </c>
      <c r="AU251" s="169">
        <f t="shared" si="169"/>
        <v>47.603528209457416</v>
      </c>
      <c r="AV251" s="225"/>
      <c r="AX251">
        <f t="shared" si="170"/>
        <v>0</v>
      </c>
      <c r="AY251">
        <f t="shared" si="171"/>
        <v>0</v>
      </c>
    </row>
    <row r="252" spans="14:51" x14ac:dyDescent="0.25">
      <c r="N252" s="170">
        <v>34</v>
      </c>
      <c r="O252" s="199">
        <f t="shared" si="172"/>
        <v>2187.7616239495528</v>
      </c>
      <c r="P252" s="189" t="str">
        <f t="shared" si="138"/>
        <v>120,833333333333</v>
      </c>
      <c r="Q252" s="160" t="str">
        <f t="shared" si="139"/>
        <v>1+12,25694959133i</v>
      </c>
      <c r="R252" s="160">
        <f t="shared" si="147"/>
        <v>12.297675117045689</v>
      </c>
      <c r="S252" s="160">
        <f t="shared" si="148"/>
        <v>1.4893902613191961</v>
      </c>
      <c r="T252" s="160" t="str">
        <f t="shared" si="140"/>
        <v>1+0,00082476670147267i</v>
      </c>
      <c r="U252" s="160">
        <f t="shared" si="149"/>
        <v>1.0000003401199982</v>
      </c>
      <c r="V252" s="160">
        <f t="shared" si="150"/>
        <v>8.2476651445961521E-4</v>
      </c>
      <c r="W252" s="98" t="str">
        <f t="shared" si="141"/>
        <v>1-0,00706000296460606i</v>
      </c>
      <c r="X252" s="160">
        <f t="shared" si="151"/>
        <v>1.0000249215103894</v>
      </c>
      <c r="Y252" s="160">
        <f t="shared" si="152"/>
        <v>-7.0598856693607935E-3</v>
      </c>
      <c r="Z252" s="98" t="str">
        <f t="shared" si="142"/>
        <v>0,999996044379402+0,00273460030609492i</v>
      </c>
      <c r="AA252" s="160">
        <f t="shared" si="153"/>
        <v>0.9999997834066191</v>
      </c>
      <c r="AB252" s="160">
        <f t="shared" si="154"/>
        <v>2.7346043066462716E-3</v>
      </c>
      <c r="AC252" s="171" t="str">
        <f t="shared" si="155"/>
        <v>0,711134023422798-9,80018854318959i</v>
      </c>
      <c r="AD252" s="190">
        <f t="shared" si="156"/>
        <v>19.847496110817985</v>
      </c>
      <c r="AE252" s="169">
        <f t="shared" si="157"/>
        <v>-85.849703319222854</v>
      </c>
      <c r="AF252" s="98" t="str">
        <f t="shared" si="143"/>
        <v>-0,0000375877424711299</v>
      </c>
      <c r="AG252" s="98" t="str">
        <f t="shared" si="144"/>
        <v>0,0000139248111431969i</v>
      </c>
      <c r="AH252" s="98">
        <f t="shared" si="158"/>
        <v>1.3924811143196901E-5</v>
      </c>
      <c r="AI252" s="98">
        <f t="shared" si="159"/>
        <v>1.5707963267948966</v>
      </c>
      <c r="AJ252" s="98" t="str">
        <f t="shared" si="145"/>
        <v>1+0,0127012443662129i</v>
      </c>
      <c r="AK252" s="98">
        <f t="shared" si="160"/>
        <v>1.0000806575514047</v>
      </c>
      <c r="AL252" s="98">
        <f t="shared" si="161"/>
        <v>1.2700561437257575E-2</v>
      </c>
      <c r="AM252" s="98" t="str">
        <f t="shared" si="146"/>
        <v>1+0,989720041767206i</v>
      </c>
      <c r="AN252" s="98">
        <f t="shared" si="162"/>
        <v>1.4069633119153035</v>
      </c>
      <c r="AO252" s="98">
        <f t="shared" si="163"/>
        <v>0.78023167436856988</v>
      </c>
      <c r="AP252" s="168" t="str">
        <f t="shared" si="164"/>
        <v>-2,63687651922413+2,73282750237541i</v>
      </c>
      <c r="AQ252" s="98">
        <f t="shared" si="165"/>
        <v>11.590093482325701</v>
      </c>
      <c r="AR252" s="169">
        <f t="shared" si="166"/>
        <v>133.97629341594319</v>
      </c>
      <c r="AS252" s="168" t="str">
        <f t="shared" si="167"/>
        <v>24,907052170908+27,7852936705907i</v>
      </c>
      <c r="AT252" s="190">
        <f t="shared" si="168"/>
        <v>31.437589593143699</v>
      </c>
      <c r="AU252" s="169">
        <f t="shared" si="169"/>
        <v>48.126590096720307</v>
      </c>
      <c r="AV252" s="225"/>
      <c r="AX252">
        <f t="shared" si="170"/>
        <v>0</v>
      </c>
      <c r="AY252">
        <f t="shared" si="171"/>
        <v>0</v>
      </c>
    </row>
    <row r="253" spans="14:51" x14ac:dyDescent="0.25">
      <c r="N253" s="170">
        <v>35</v>
      </c>
      <c r="O253" s="199">
        <f t="shared" si="172"/>
        <v>2238.7211385683418</v>
      </c>
      <c r="P253" s="189" t="str">
        <f t="shared" si="138"/>
        <v>120,833333333333</v>
      </c>
      <c r="Q253" s="160" t="str">
        <f t="shared" si="139"/>
        <v>1+12,5424506235465i</v>
      </c>
      <c r="R253" s="160">
        <f t="shared" si="147"/>
        <v>12.582252089514895</v>
      </c>
      <c r="S253" s="160">
        <f t="shared" si="148"/>
        <v>1.4912353894555197</v>
      </c>
      <c r="T253" s="160" t="str">
        <f t="shared" si="140"/>
        <v>1+0,000843977985883498i</v>
      </c>
      <c r="U253" s="160">
        <f t="shared" si="149"/>
        <v>1.0000003561493569</v>
      </c>
      <c r="V253" s="160">
        <f t="shared" si="150"/>
        <v>8.439777854954033E-4</v>
      </c>
      <c r="W253" s="98" t="str">
        <f t="shared" si="141"/>
        <v>1-0,00722445155916275i</v>
      </c>
      <c r="X253" s="160">
        <f t="shared" si="151"/>
        <v>1.0000260960096645</v>
      </c>
      <c r="Y253" s="160">
        <f t="shared" si="152"/>
        <v>-7.22432587522017E-3</v>
      </c>
      <c r="Z253" s="98" t="str">
        <f t="shared" si="142"/>
        <v>0,999995857956747+0,00279829732991574i</v>
      </c>
      <c r="AA253" s="160">
        <f t="shared" si="153"/>
        <v>0.9999997731992728</v>
      </c>
      <c r="AB253" s="160">
        <f t="shared" si="154"/>
        <v>2.7983016165833651E-3</v>
      </c>
      <c r="AC253" s="171" t="str">
        <f t="shared" si="155"/>
        <v>0,675374597042012-9,57995339127356i</v>
      </c>
      <c r="AD253" s="190">
        <f t="shared" si="156"/>
        <v>19.648799207940804</v>
      </c>
      <c r="AE253" s="169">
        <f t="shared" si="157"/>
        <v>-85.96739196614935</v>
      </c>
      <c r="AF253" s="98" t="str">
        <f t="shared" si="143"/>
        <v>-0,0000375877424711299</v>
      </c>
      <c r="AG253" s="98" t="str">
        <f t="shared" si="144"/>
        <v>0,0000142491616616664i</v>
      </c>
      <c r="AH253" s="98">
        <f t="shared" si="158"/>
        <v>1.4249161661666399E-5</v>
      </c>
      <c r="AI253" s="98">
        <f t="shared" si="159"/>
        <v>1.5707963267948966</v>
      </c>
      <c r="AJ253" s="98" t="str">
        <f t="shared" si="145"/>
        <v>1+0,0129970943531911i</v>
      </c>
      <c r="AK253" s="98">
        <f t="shared" si="160"/>
        <v>1.0000844586641799</v>
      </c>
      <c r="AL253" s="98">
        <f t="shared" si="161"/>
        <v>1.2996362584969029E-2</v>
      </c>
      <c r="AM253" s="98" t="str">
        <f t="shared" si="146"/>
        <v>1+1,0127735830602i</v>
      </c>
      <c r="AN253" s="98">
        <f t="shared" si="162"/>
        <v>1.4232745099047464</v>
      </c>
      <c r="AO253" s="98">
        <f t="shared" si="163"/>
        <v>0.79174433749594808</v>
      </c>
      <c r="AP253" s="168" t="str">
        <f t="shared" si="164"/>
        <v>-2,6368564748251+2,67216297532521i</v>
      </c>
      <c r="AQ253" s="98">
        <f t="shared" si="165"/>
        <v>11.490178440090823</v>
      </c>
      <c r="AR253" s="169">
        <f t="shared" si="166"/>
        <v>134.61897226675879</v>
      </c>
      <c r="AS253" s="168" t="str">
        <f t="shared" si="167"/>
        <v>23,8183308783598+27,0656731209932i</v>
      </c>
      <c r="AT253" s="190">
        <f t="shared" si="168"/>
        <v>31.138977648031631</v>
      </c>
      <c r="AU253" s="169">
        <f t="shared" si="169"/>
        <v>48.651580300609417</v>
      </c>
      <c r="AV253" s="225"/>
      <c r="AX253">
        <f t="shared" si="170"/>
        <v>0</v>
      </c>
      <c r="AY253">
        <f t="shared" si="171"/>
        <v>0</v>
      </c>
    </row>
    <row r="254" spans="14:51" x14ac:dyDescent="0.25">
      <c r="N254" s="170">
        <v>36</v>
      </c>
      <c r="O254" s="199">
        <f t="shared" si="172"/>
        <v>2290.8676527677749</v>
      </c>
      <c r="P254" s="189" t="str">
        <f t="shared" si="138"/>
        <v>120,833333333333</v>
      </c>
      <c r="Q254" s="160" t="str">
        <f t="shared" si="139"/>
        <v>1+12,8346018291025i</v>
      </c>
      <c r="R254" s="160">
        <f t="shared" si="147"/>
        <v>12.873500072303619</v>
      </c>
      <c r="S254" s="160">
        <f t="shared" si="148"/>
        <v>1.4930390420725641</v>
      </c>
      <c r="T254" s="160" t="str">
        <f t="shared" si="140"/>
        <v>1+0,000863636758593808i</v>
      </c>
      <c r="U254" s="160">
        <f t="shared" si="149"/>
        <v>1.0000003729341558</v>
      </c>
      <c r="V254" s="160">
        <f t="shared" si="150"/>
        <v>8.6363654387410036E-4</v>
      </c>
      <c r="W254" s="98" t="str">
        <f t="shared" si="141"/>
        <v>1-0,00739273065356301i</v>
      </c>
      <c r="X254" s="160">
        <f t="shared" si="151"/>
        <v>1.0000273258599068</v>
      </c>
      <c r="Y254" s="160">
        <f t="shared" si="152"/>
        <v>-7.3925959809909266E-3</v>
      </c>
      <c r="Z254" s="98" t="str">
        <f t="shared" si="142"/>
        <v>0,999995662748262+0,00286347804802072i</v>
      </c>
      <c r="AA254" s="160">
        <f t="shared" si="153"/>
        <v>0.99999976251090539</v>
      </c>
      <c r="AB254" s="160">
        <f t="shared" si="154"/>
        <v>2.8634826412674104E-3</v>
      </c>
      <c r="AC254" s="171" t="str">
        <f t="shared" si="155"/>
        <v>0,641204729713986-9,3645424996391i</v>
      </c>
      <c r="AD254" s="190">
        <f t="shared" si="156"/>
        <v>19.450044976187979</v>
      </c>
      <c r="AE254" s="169">
        <f t="shared" si="157"/>
        <v>-86.082983049425764</v>
      </c>
      <c r="AF254" s="98" t="str">
        <f t="shared" si="143"/>
        <v>-0,0000375877424711299</v>
      </c>
      <c r="AG254" s="98" t="str">
        <f t="shared" si="144"/>
        <v>0,0000145810672742588i</v>
      </c>
      <c r="AH254" s="98">
        <f t="shared" si="158"/>
        <v>1.45810672742588E-5</v>
      </c>
      <c r="AI254" s="98">
        <f t="shared" si="159"/>
        <v>1.5707963267948966</v>
      </c>
      <c r="AJ254" s="98" t="str">
        <f t="shared" si="145"/>
        <v>1+0,0132998355716322i</v>
      </c>
      <c r="AK254" s="98">
        <f t="shared" si="160"/>
        <v>1.0000884389023965</v>
      </c>
      <c r="AL254" s="98">
        <f t="shared" si="161"/>
        <v>1.3299051471600173E-2</v>
      </c>
      <c r="AM254" s="98" t="str">
        <f t="shared" si="146"/>
        <v>1+1,03636411031257i</v>
      </c>
      <c r="AN254" s="98">
        <f t="shared" si="162"/>
        <v>1.4401564391217938</v>
      </c>
      <c r="AO254" s="98">
        <f t="shared" si="163"/>
        <v>0.8032536370507376</v>
      </c>
      <c r="AP254" s="168" t="str">
        <f t="shared" si="164"/>
        <v>-2,63683548608926+2,61291523989687i</v>
      </c>
      <c r="AQ254" s="98">
        <f t="shared" si="165"/>
        <v>11.392563853123363</v>
      </c>
      <c r="AR254" s="169">
        <f t="shared" si="166"/>
        <v>135.26106376069055</v>
      </c>
      <c r="AS254" s="168" t="str">
        <f t="shared" si="167"/>
        <v>22,7780044268108+26,368171584203i</v>
      </c>
      <c r="AT254" s="190">
        <f t="shared" si="168"/>
        <v>30.842608829311335</v>
      </c>
      <c r="AU254" s="169">
        <f t="shared" si="169"/>
        <v>49.178080711264791</v>
      </c>
      <c r="AV254" s="225"/>
      <c r="AX254">
        <f t="shared" si="170"/>
        <v>0</v>
      </c>
      <c r="AY254">
        <f t="shared" si="171"/>
        <v>0</v>
      </c>
    </row>
    <row r="255" spans="14:51" x14ac:dyDescent="0.25">
      <c r="N255" s="170">
        <v>37</v>
      </c>
      <c r="O255" s="199">
        <f t="shared" si="172"/>
        <v>2344.2288153199238</v>
      </c>
      <c r="P255" s="189" t="str">
        <f t="shared" si="138"/>
        <v>120,833333333333</v>
      </c>
      <c r="Q255" s="160" t="str">
        <f t="shared" si="139"/>
        <v>1+13,1335581104343i</v>
      </c>
      <c r="R255" s="160">
        <f t="shared" si="147"/>
        <v>13.171573506614713</v>
      </c>
      <c r="S255" s="160">
        <f t="shared" si="148"/>
        <v>1.4948021285240134</v>
      </c>
      <c r="T255" s="160" t="str">
        <f t="shared" si="140"/>
        <v>1+0,00088375344294511i</v>
      </c>
      <c r="U255" s="160">
        <f t="shared" si="149"/>
        <v>1.0000003905099977</v>
      </c>
      <c r="V255" s="160">
        <f t="shared" si="150"/>
        <v>8.8375321286880291E-4</v>
      </c>
      <c r="W255" s="98" t="str">
        <f t="shared" si="141"/>
        <v>1-0,00756492947161015i</v>
      </c>
      <c r="X255" s="160">
        <f t="shared" si="151"/>
        <v>1.0000286136695842</v>
      </c>
      <c r="Y255" s="160">
        <f t="shared" si="152"/>
        <v>-7.5647851675722756E-3</v>
      </c>
      <c r="Z255" s="98" t="str">
        <f t="shared" si="142"/>
        <v>0,999995458339885+0,00293017702008938i</v>
      </c>
      <c r="AA255" s="160">
        <f t="shared" si="153"/>
        <v>0.99999975131885199</v>
      </c>
      <c r="AB255" s="160">
        <f t="shared" si="154"/>
        <v>2.9301819418414048E-3</v>
      </c>
      <c r="AC255" s="171" t="str">
        <f t="shared" si="155"/>
        <v>0,60855461328801-9,15385848191561i</v>
      </c>
      <c r="AD255" s="190">
        <f t="shared" si="156"/>
        <v>19.251236009638969</v>
      </c>
      <c r="AE255" s="169">
        <f t="shared" si="157"/>
        <v>-86.196535163867523</v>
      </c>
      <c r="AF255" s="98" t="str">
        <f t="shared" si="143"/>
        <v>-0,0000375877424711299</v>
      </c>
      <c r="AG255" s="98" t="str">
        <f t="shared" si="144"/>
        <v>0,0000149207039617233i</v>
      </c>
      <c r="AH255" s="98">
        <f t="shared" si="158"/>
        <v>1.49207039617233E-5</v>
      </c>
      <c r="AI255" s="98">
        <f t="shared" si="159"/>
        <v>1.5707963267948966</v>
      </c>
      <c r="AJ255" s="98" t="str">
        <f t="shared" si="145"/>
        <v>1+0,0136096285389375i</v>
      </c>
      <c r="AK255" s="98">
        <f t="shared" si="160"/>
        <v>1.0000926067064828</v>
      </c>
      <c r="AL255" s="98">
        <f t="shared" si="161"/>
        <v>1.3608788364817723E-2</v>
      </c>
      <c r="AM255" s="98" t="str">
        <f t="shared" si="146"/>
        <v>1+1,06050413153413i</v>
      </c>
      <c r="AN255" s="98">
        <f t="shared" si="162"/>
        <v>1.4576244416861839</v>
      </c>
      <c r="AO255" s="98">
        <f t="shared" si="163"/>
        <v>0.81475347994766867</v>
      </c>
      <c r="AP255" s="168" t="str">
        <f t="shared" si="164"/>
        <v>-2,63681350854289+2,55505288040107i</v>
      </c>
      <c r="AQ255" s="98">
        <f t="shared" si="165"/>
        <v>11.297247084784072</v>
      </c>
      <c r="AR255" s="169">
        <f t="shared" si="166"/>
        <v>135.90220960700736</v>
      </c>
      <c r="AS255" s="168" t="str">
        <f t="shared" si="167"/>
        <v>21,7839474559983+25,6919069179679i</v>
      </c>
      <c r="AT255" s="190">
        <f t="shared" si="168"/>
        <v>30.548483094423041</v>
      </c>
      <c r="AU255" s="169">
        <f t="shared" si="169"/>
        <v>49.705674443139898</v>
      </c>
      <c r="AV255" s="225"/>
      <c r="AX255">
        <f t="shared" si="170"/>
        <v>0</v>
      </c>
      <c r="AY255">
        <f t="shared" si="171"/>
        <v>0</v>
      </c>
    </row>
    <row r="256" spans="14:51" x14ac:dyDescent="0.25">
      <c r="N256" s="170">
        <v>38</v>
      </c>
      <c r="O256" s="199">
        <f t="shared" si="172"/>
        <v>2398.8329190194918</v>
      </c>
      <c r="P256" s="189" t="str">
        <f t="shared" si="138"/>
        <v>120,833333333333</v>
      </c>
      <c r="Q256" s="160" t="str">
        <f t="shared" si="139"/>
        <v>1+13,4394779781195i</v>
      </c>
      <c r="R256" s="160">
        <f t="shared" si="147"/>
        <v>13.476630451428097</v>
      </c>
      <c r="S256" s="160">
        <f t="shared" si="148"/>
        <v>1.4965255397530706</v>
      </c>
      <c r="T256" s="160" t="str">
        <f t="shared" si="140"/>
        <v>1+0,000904338705069718i</v>
      </c>
      <c r="U256" s="160">
        <f t="shared" si="149"/>
        <v>1.0000004089141632</v>
      </c>
      <c r="V256" s="160">
        <f t="shared" si="150"/>
        <v>9.0433845853851865E-4</v>
      </c>
      <c r="W256" s="98" t="str">
        <f t="shared" si="141"/>
        <v>1-0,00774113931539679i</v>
      </c>
      <c r="X256" s="160">
        <f t="shared" si="151"/>
        <v>1.0000299621700843</v>
      </c>
      <c r="Y256" s="160">
        <f t="shared" si="152"/>
        <v>-7.7409846910845926E-3</v>
      </c>
      <c r="Z256" s="98" t="str">
        <f t="shared" si="142"/>
        <v>0,999995244298039+0,00299842961079956i</v>
      </c>
      <c r="AA256" s="160">
        <f t="shared" si="153"/>
        <v>0.99999973959937882</v>
      </c>
      <c r="AB256" s="160">
        <f t="shared" si="154"/>
        <v>2.998434884551331E-3</v>
      </c>
      <c r="AC256" s="171" t="str">
        <f t="shared" si="155"/>
        <v>0,57735743092708-8,94780535674389i</v>
      </c>
      <c r="AD256" s="190">
        <f t="shared" si="156"/>
        <v>19.052374790495517</v>
      </c>
      <c r="AE256" s="169">
        <f t="shared" si="157"/>
        <v>-86.308106000566937</v>
      </c>
      <c r="AF256" s="98" t="str">
        <f t="shared" si="143"/>
        <v>-0,0000375877424711299</v>
      </c>
      <c r="AG256" s="98" t="str">
        <f t="shared" si="144"/>
        <v>0,0000152682518039271i</v>
      </c>
      <c r="AH256" s="98">
        <f t="shared" si="158"/>
        <v>1.5268251803927098E-5</v>
      </c>
      <c r="AI256" s="98">
        <f t="shared" si="159"/>
        <v>1.5707963267948966</v>
      </c>
      <c r="AJ256" s="98" t="str">
        <f t="shared" si="145"/>
        <v>1+0,0139266375114389i</v>
      </c>
      <c r="AK256" s="98">
        <f t="shared" si="160"/>
        <v>1.0000969709145084</v>
      </c>
      <c r="AL256" s="98">
        <f t="shared" si="161"/>
        <v>1.3925737253364216E-2</v>
      </c>
      <c r="AM256" s="98" t="str">
        <f t="shared" si="146"/>
        <v>1+1,08520644608366i</v>
      </c>
      <c r="AN256" s="98">
        <f t="shared" si="162"/>
        <v>1.4756940843621782</v>
      </c>
      <c r="AO256" s="98">
        <f t="shared" si="163"/>
        <v>0.82623779811085241</v>
      </c>
      <c r="AP256" s="168" t="str">
        <f t="shared" si="164"/>
        <v>-2,63679049561934+2,49854521556771i</v>
      </c>
      <c r="AQ256" s="98">
        <f t="shared" si="165"/>
        <v>11.204223067511993</v>
      </c>
      <c r="AR256" s="169">
        <f t="shared" si="166"/>
        <v>136.54205273470811</v>
      </c>
      <c r="AS256" s="168" t="str">
        <f t="shared" si="167"/>
        <v>20,8341256774799+25,0360417680294i</v>
      </c>
      <c r="AT256" s="190">
        <f t="shared" si="168"/>
        <v>30.256597858007513</v>
      </c>
      <c r="AU256" s="169">
        <f t="shared" si="169"/>
        <v>50.233946734141071</v>
      </c>
      <c r="AV256" s="225"/>
      <c r="AX256">
        <f t="shared" si="170"/>
        <v>0</v>
      </c>
      <c r="AY256">
        <f t="shared" si="171"/>
        <v>0</v>
      </c>
    </row>
    <row r="257" spans="14:51" x14ac:dyDescent="0.25">
      <c r="N257" s="170">
        <v>39</v>
      </c>
      <c r="O257" s="199">
        <f t="shared" si="172"/>
        <v>2454.7089156850338</v>
      </c>
      <c r="P257" s="189" t="str">
        <f t="shared" si="138"/>
        <v>120,833333333333</v>
      </c>
      <c r="Q257" s="160" t="str">
        <f t="shared" si="139"/>
        <v>1+13,7525236349212i</v>
      </c>
      <c r="R257" s="160">
        <f t="shared" si="147"/>
        <v>13.788832667382188</v>
      </c>
      <c r="S257" s="160">
        <f t="shared" si="148"/>
        <v>1.4982101485619965</v>
      </c>
      <c r="T257" s="160" t="str">
        <f t="shared" si="140"/>
        <v>1+0,000925403459546092i</v>
      </c>
      <c r="U257" s="160">
        <f t="shared" si="149"/>
        <v>1.0000004281856898</v>
      </c>
      <c r="V257" s="160">
        <f t="shared" si="150"/>
        <v>9.2540319538315875E-4</v>
      </c>
      <c r="W257" s="98" t="str">
        <f t="shared" si="141"/>
        <v>1-0,00792145361371456i</v>
      </c>
      <c r="X257" s="160">
        <f t="shared" si="151"/>
        <v>1.0000313742215061</v>
      </c>
      <c r="Y257" s="160">
        <f t="shared" si="152"/>
        <v>-7.9212879310597197E-3</v>
      </c>
      <c r="Z257" s="98" t="str">
        <f t="shared" si="142"/>
        <v>0,99999502016871+0,00306827200857829i</v>
      </c>
      <c r="AA257" s="160">
        <f t="shared" si="153"/>
        <v>0.99999972732763154</v>
      </c>
      <c r="AB257" s="160">
        <f t="shared" si="154"/>
        <v>3.0682776595045238E-3</v>
      </c>
      <c r="AC257" s="171" t="str">
        <f t="shared" si="155"/>
        <v>0,547549235471838-8,74628856803492i</v>
      </c>
      <c r="AD257" s="190">
        <f t="shared" si="156"/>
        <v>18.853463693978881</v>
      </c>
      <c r="AE257" s="169">
        <f t="shared" si="157"/>
        <v>-86.417752365848614</v>
      </c>
      <c r="AF257" s="98" t="str">
        <f t="shared" si="143"/>
        <v>-0,0000375877424711299</v>
      </c>
      <c r="AG257" s="98" t="str">
        <f t="shared" si="144"/>
        <v>0,0000156238950753366i</v>
      </c>
      <c r="AH257" s="98">
        <f t="shared" si="158"/>
        <v>1.5623895075336599E-5</v>
      </c>
      <c r="AI257" s="98">
        <f t="shared" si="159"/>
        <v>1.5707963267948966</v>
      </c>
      <c r="AJ257" s="98" t="str">
        <f t="shared" si="145"/>
        <v>1+0,0142510305714897i</v>
      </c>
      <c r="AK257" s="98">
        <f t="shared" si="160"/>
        <v>1.0001015407809097</v>
      </c>
      <c r="AL257" s="98">
        <f t="shared" si="161"/>
        <v>1.4250065932872572E-2</v>
      </c>
      <c r="AM257" s="98" t="str">
        <f t="shared" si="146"/>
        <v>1+1,11048415145531i</v>
      </c>
      <c r="AN257" s="98">
        <f t="shared" si="162"/>
        <v>1.4943811597559105</v>
      </c>
      <c r="AO257" s="98">
        <f t="shared" si="163"/>
        <v>0.83770056441477292</v>
      </c>
      <c r="AP257" s="168" t="str">
        <f t="shared" si="164"/>
        <v>-2,63676639856064+2,4433622822692i</v>
      </c>
      <c r="AQ257" s="98">
        <f t="shared" si="165"/>
        <v>11.113484323731452</v>
      </c>
      <c r="AR257" s="169">
        <f t="shared" si="166"/>
        <v>137.18023820095669</v>
      </c>
      <c r="AS257" s="168" t="str">
        <f t="shared" si="167"/>
        <v>19,9265921713291+24,3997809579468i</v>
      </c>
      <c r="AT257" s="190">
        <f t="shared" si="168"/>
        <v>29.966948017710337</v>
      </c>
      <c r="AU257" s="169">
        <f t="shared" si="169"/>
        <v>50.762485835108151</v>
      </c>
      <c r="AV257" s="225"/>
      <c r="AX257">
        <f t="shared" si="170"/>
        <v>0</v>
      </c>
      <c r="AY257">
        <f t="shared" si="171"/>
        <v>0</v>
      </c>
    </row>
    <row r="258" spans="14:51" x14ac:dyDescent="0.25">
      <c r="N258" s="170">
        <v>40</v>
      </c>
      <c r="O258" s="199">
        <f t="shared" si="172"/>
        <v>2511.8864315095811</v>
      </c>
      <c r="P258" s="189" t="str">
        <f t="shared" si="138"/>
        <v>120,833333333333</v>
      </c>
      <c r="Q258" s="160" t="str">
        <f t="shared" si="139"/>
        <v>1+14,0728610617903i</v>
      </c>
      <c r="R258" s="160">
        <f t="shared" si="147"/>
        <v>14.10834570261353</v>
      </c>
      <c r="S258" s="160">
        <f t="shared" si="148"/>
        <v>1.4998568098851477</v>
      </c>
      <c r="T258" s="160" t="str">
        <f t="shared" si="140"/>
        <v>1+0,000946958875185886i</v>
      </c>
      <c r="U258" s="160">
        <f t="shared" si="149"/>
        <v>1.0000004483654552</v>
      </c>
      <c r="V258" s="160">
        <f t="shared" si="150"/>
        <v>9.4695859213021012E-4</v>
      </c>
      <c r="W258" s="98" t="str">
        <f t="shared" si="141"/>
        <v>1-0,00810596797159119i</v>
      </c>
      <c r="X258" s="160">
        <f t="shared" si="151"/>
        <v>1.0000328528187243</v>
      </c>
      <c r="Y258" s="160">
        <f t="shared" si="152"/>
        <v>-8.1057904397429763E-3</v>
      </c>
      <c r="Z258" s="98" t="str">
        <f t="shared" si="142"/>
        <v>0,999994785476492+0,00313974124478937i</v>
      </c>
      <c r="AA258" s="160">
        <f t="shared" si="153"/>
        <v>0.99999971447758884</v>
      </c>
      <c r="AB258" s="160">
        <f t="shared" si="154"/>
        <v>3.1397472998652459E-3</v>
      </c>
      <c r="AC258" s="171" t="str">
        <f t="shared" si="155"/>
        <v>0,519068832167996-8,54921500148807i</v>
      </c>
      <c r="AD258" s="190">
        <f t="shared" si="156"/>
        <v>18.654504993033044</v>
      </c>
      <c r="AE258" s="169">
        <f t="shared" si="157"/>
        <v>-86.525530200506381</v>
      </c>
      <c r="AF258" s="98" t="str">
        <f t="shared" si="143"/>
        <v>-0,0000375877424711299</v>
      </c>
      <c r="AG258" s="98" t="str">
        <f t="shared" si="144"/>
        <v>0,0000159878223427217i</v>
      </c>
      <c r="AH258" s="98">
        <f t="shared" si="158"/>
        <v>1.59878223427217E-5</v>
      </c>
      <c r="AI258" s="98">
        <f t="shared" si="159"/>
        <v>1.5707963267948966</v>
      </c>
      <c r="AJ258" s="98" t="str">
        <f t="shared" si="145"/>
        <v>1+0,0145829797165842i</v>
      </c>
      <c r="AK258" s="98">
        <f t="shared" si="160"/>
        <v>1.0001063259960983</v>
      </c>
      <c r="AL258" s="98">
        <f t="shared" si="161"/>
        <v>1.4581946093618309E-2</v>
      </c>
      <c r="AM258" s="98" t="str">
        <f t="shared" si="146"/>
        <v>1+1,13635065022306i</v>
      </c>
      <c r="AN258" s="98">
        <f t="shared" si="162"/>
        <v>1.513701688002749</v>
      </c>
      <c r="AO258" s="98">
        <f t="shared" si="163"/>
        <v>0.84913580836248992</v>
      </c>
      <c r="AP258" s="168" t="str">
        <f t="shared" si="164"/>
        <v>-2,63674116631462+2,38947481962416i</v>
      </c>
      <c r="AQ258" s="98">
        <f t="shared" si="165"/>
        <v>11.025020996784816</v>
      </c>
      <c r="AR258" s="169">
        <f t="shared" si="166"/>
        <v>137.81641408434848</v>
      </c>
      <c r="AS258" s="168" t="str">
        <f t="shared" si="167"/>
        <v>19,0594838156807+23,7823690382152i</v>
      </c>
      <c r="AT258" s="190">
        <f t="shared" si="168"/>
        <v>29.679525989817858</v>
      </c>
      <c r="AU258" s="169">
        <f t="shared" si="169"/>
        <v>51.290883883841978</v>
      </c>
      <c r="AV258" s="225"/>
      <c r="AX258">
        <f t="shared" si="170"/>
        <v>0</v>
      </c>
      <c r="AY258">
        <f t="shared" si="171"/>
        <v>0</v>
      </c>
    </row>
    <row r="259" spans="14:51" x14ac:dyDescent="0.25">
      <c r="N259" s="170">
        <v>41</v>
      </c>
      <c r="O259" s="199">
        <f t="shared" si="172"/>
        <v>2570.3957827688669</v>
      </c>
      <c r="P259" s="189" t="str">
        <f t="shared" si="138"/>
        <v>120,833333333333</v>
      </c>
      <c r="Q259" s="160" t="str">
        <f t="shared" si="139"/>
        <v>1+14,4006601058707i</v>
      </c>
      <c r="R259" s="160">
        <f t="shared" si="147"/>
        <v>14.435338980599516</v>
      </c>
      <c r="S259" s="160">
        <f t="shared" si="148"/>
        <v>1.5014663610648258</v>
      </c>
      <c r="T259" s="160" t="str">
        <f t="shared" si="140"/>
        <v>1+0,00096901638095578i</v>
      </c>
      <c r="U259" s="160">
        <f t="shared" si="149"/>
        <v>1.0000004694962632</v>
      </c>
      <c r="V259" s="160">
        <f t="shared" si="150"/>
        <v>9.690160776561665E-4</v>
      </c>
      <c r="W259" s="98" t="str">
        <f t="shared" si="141"/>
        <v>1-0,00829478022098148i</v>
      </c>
      <c r="X259" s="160">
        <f t="shared" si="151"/>
        <v>1.0000344010977396</v>
      </c>
      <c r="Y259" s="160">
        <f t="shared" si="152"/>
        <v>-8.2945899925322489E-3</v>
      </c>
      <c r="Z259" s="98" t="str">
        <f t="shared" si="142"/>
        <v>0,99999453972357+0,00321287521336781i</v>
      </c>
      <c r="AA259" s="160">
        <f t="shared" si="153"/>
        <v>0.99999970102200098</v>
      </c>
      <c r="AB259" s="160">
        <f t="shared" si="154"/>
        <v>3.2128817014977491E-3</v>
      </c>
      <c r="AC259" s="171" t="str">
        <f t="shared" si="155"/>
        <v>0,491857665654286-8,35649299764874i</v>
      </c>
      <c r="AD259" s="190">
        <f t="shared" si="156"/>
        <v>18.455500862839045</v>
      </c>
      <c r="AE259" s="169">
        <f t="shared" si="157"/>
        <v>-86.63149459928448</v>
      </c>
      <c r="AF259" s="98" t="str">
        <f t="shared" si="143"/>
        <v>-0,0000375877424711299</v>
      </c>
      <c r="AG259" s="98" t="str">
        <f t="shared" si="144"/>
        <v>0,0000163602265651368i</v>
      </c>
      <c r="AH259" s="98">
        <f t="shared" si="158"/>
        <v>1.6360226565136799E-5</v>
      </c>
      <c r="AI259" s="98">
        <f t="shared" si="159"/>
        <v>1.5707963267948966</v>
      </c>
      <c r="AJ259" s="98" t="str">
        <f t="shared" si="145"/>
        <v>1+0,014922660950553i</v>
      </c>
      <c r="AK259" s="98">
        <f t="shared" si="160"/>
        <v>1.0001113367069914</v>
      </c>
      <c r="AL259" s="98">
        <f t="shared" si="161"/>
        <v>1.4921553410249734E-2</v>
      </c>
      <c r="AM259" s="98" t="str">
        <f t="shared" si="146"/>
        <v>1+1,16281965714694i</v>
      </c>
      <c r="AN259" s="98">
        <f t="shared" si="162"/>
        <v>1.533671918973327</v>
      </c>
      <c r="AO259" s="98">
        <f t="shared" si="163"/>
        <v>0.86053763140250861</v>
      </c>
      <c r="AP259" s="168" t="str">
        <f t="shared" si="164"/>
        <v>-2,63671474542708+2,33685425347248i</v>
      </c>
      <c r="AQ259" s="98">
        <f t="shared" si="165"/>
        <v>10.938820891612577</v>
      </c>
      <c r="AR259" s="169">
        <f t="shared" si="166"/>
        <v>138.4502323573619</v>
      </c>
      <c r="AS259" s="168" t="str">
        <f t="shared" si="167"/>
        <v>18,2310178459865+23,1830879850458i</v>
      </c>
      <c r="AT259" s="190">
        <f t="shared" si="168"/>
        <v>29.394321754451621</v>
      </c>
      <c r="AU259" s="169">
        <f t="shared" si="169"/>
        <v>51.818737758077319</v>
      </c>
      <c r="AV259" s="225"/>
      <c r="AX259">
        <f t="shared" si="170"/>
        <v>0</v>
      </c>
      <c r="AY259">
        <f t="shared" si="171"/>
        <v>0</v>
      </c>
    </row>
    <row r="260" spans="14:51" x14ac:dyDescent="0.25">
      <c r="N260" s="170">
        <v>42</v>
      </c>
      <c r="O260" s="199">
        <f t="shared" si="172"/>
        <v>2630.2679918953822</v>
      </c>
      <c r="P260" s="189" t="str">
        <f t="shared" si="138"/>
        <v>120,833333333333</v>
      </c>
      <c r="Q260" s="160" t="str">
        <f t="shared" si="139"/>
        <v>1+14,7360945705545i</v>
      </c>
      <c r="R260" s="160">
        <f t="shared" si="147"/>
        <v>14.769985890051684</v>
      </c>
      <c r="S260" s="160">
        <f t="shared" si="148"/>
        <v>1.503039622129305</v>
      </c>
      <c r="T260" s="160" t="str">
        <f t="shared" si="140"/>
        <v>1+0,000991587672037306i</v>
      </c>
      <c r="U260" s="160">
        <f t="shared" si="149"/>
        <v>1.0000004916229348</v>
      </c>
      <c r="V260" s="160">
        <f t="shared" si="150"/>
        <v>9.915873470459234E-4</v>
      </c>
      <c r="W260" s="98" t="str">
        <f t="shared" si="141"/>
        <v>1-0,00848799047263935i</v>
      </c>
      <c r="X260" s="160">
        <f t="shared" si="151"/>
        <v>1.0000360223423272</v>
      </c>
      <c r="Y260" s="160">
        <f t="shared" si="152"/>
        <v>-8.4877866395801412E-3</v>
      </c>
      <c r="Z260" s="98" t="str">
        <f t="shared" si="142"/>
        <v>0,99999428238867+0,0032877126909118i</v>
      </c>
      <c r="AA260" s="160">
        <f t="shared" si="153"/>
        <v>0.99999968693233554</v>
      </c>
      <c r="AB260" s="160">
        <f t="shared" si="154"/>
        <v>3.2877196430674341E-3</v>
      </c>
      <c r="AC260" s="171" t="str">
        <f t="shared" si="155"/>
        <v>0,465859711105282-8,16803236177159i</v>
      </c>
      <c r="AD260" s="190">
        <f t="shared" si="156"/>
        <v>18.256453385148518</v>
      </c>
      <c r="AE260" s="169">
        <f t="shared" si="157"/>
        <v>-86.735699830568393</v>
      </c>
      <c r="AF260" s="98" t="str">
        <f t="shared" si="143"/>
        <v>-0,0000375877424711299</v>
      </c>
      <c r="AG260" s="98" t="str">
        <f t="shared" si="144"/>
        <v>0,0000167413051962299i</v>
      </c>
      <c r="AH260" s="98">
        <f t="shared" si="158"/>
        <v>1.6741305196229899E-5</v>
      </c>
      <c r="AI260" s="98">
        <f t="shared" si="159"/>
        <v>1.5707963267948966</v>
      </c>
      <c r="AJ260" s="98" t="str">
        <f t="shared" si="145"/>
        <v>1+0,0152702543768825i</v>
      </c>
      <c r="AK260" s="98">
        <f t="shared" si="160"/>
        <v>1.0001165835385066</v>
      </c>
      <c r="AL260" s="98">
        <f t="shared" si="161"/>
        <v>1.5269067633537655E-2</v>
      </c>
      <c r="AM260" s="98" t="str">
        <f t="shared" si="146"/>
        <v>1+1,18990520644477i</v>
      </c>
      <c r="AN260" s="98">
        <f t="shared" si="162"/>
        <v>1.5543083350237719</v>
      </c>
      <c r="AO260" s="98">
        <f t="shared" si="163"/>
        <v>0.87190022179002669</v>
      </c>
      <c r="AP260" s="168" t="str">
        <f t="shared" si="164"/>
        <v>-2,63668707992895+2,28547268121399i</v>
      </c>
      <c r="AQ260" s="98">
        <f t="shared" si="165"/>
        <v>10.854869524820561</v>
      </c>
      <c r="AR260" s="169">
        <f t="shared" si="166"/>
        <v>139.0813497325874</v>
      </c>
      <c r="AS260" s="168" t="str">
        <f t="shared" si="167"/>
        <v>17,43948854077+22,6012550397341i</v>
      </c>
      <c r="AT260" s="190">
        <f t="shared" si="168"/>
        <v>29.111322909969083</v>
      </c>
      <c r="AU260" s="169">
        <f t="shared" si="169"/>
        <v>52.34564990201909</v>
      </c>
      <c r="AV260" s="225"/>
      <c r="AX260">
        <f t="shared" si="170"/>
        <v>0</v>
      </c>
      <c r="AY260">
        <f t="shared" si="171"/>
        <v>0</v>
      </c>
    </row>
    <row r="261" spans="14:51" x14ac:dyDescent="0.25">
      <c r="N261" s="170">
        <v>43</v>
      </c>
      <c r="O261" s="199">
        <f t="shared" si="172"/>
        <v>2691.5348039269184</v>
      </c>
      <c r="P261" s="189" t="str">
        <f t="shared" si="138"/>
        <v>120,833333333333</v>
      </c>
      <c r="Q261" s="160" t="str">
        <f t="shared" si="139"/>
        <v>1+15,0793423076349i</v>
      </c>
      <c r="R261" s="160">
        <f t="shared" si="147"/>
        <v>15.112463876907292</v>
      </c>
      <c r="S261" s="160">
        <f t="shared" si="148"/>
        <v>1.5045773960724529</v>
      </c>
      <c r="T261" s="160" t="str">
        <f t="shared" si="140"/>
        <v>1+0,00101468471602776i</v>
      </c>
      <c r="U261" s="160">
        <f t="shared" si="149"/>
        <v>1.000000514792404</v>
      </c>
      <c r="V261" s="160">
        <f t="shared" si="150"/>
        <v>1.0146843677932293E-3</v>
      </c>
      <c r="W261" s="98" t="str">
        <f t="shared" si="141"/>
        <v>1-0,00868570116919767i</v>
      </c>
      <c r="X261" s="160">
        <f t="shared" si="151"/>
        <v>1.0000377199910013</v>
      </c>
      <c r="Y261" s="160">
        <f t="shared" si="152"/>
        <v>-8.6854827585846131E-3</v>
      </c>
      <c r="Z261" s="98" t="str">
        <f t="shared" si="142"/>
        <v>0,99999401292595+0,00336429335724256i</v>
      </c>
      <c r="AA261" s="160">
        <f t="shared" si="153"/>
        <v>0.99999967217871566</v>
      </c>
      <c r="AB261" s="160">
        <f t="shared" si="154"/>
        <v>3.3643008066105806E-3</v>
      </c>
      <c r="AC261" s="171" t="str">
        <f t="shared" si="155"/>
        <v>0,44102136942096-7,98374437073872i</v>
      </c>
      <c r="AD261" s="190">
        <f t="shared" si="156"/>
        <v>18.057364552444394</v>
      </c>
      <c r="AE261" s="169">
        <f t="shared" si="157"/>
        <v>-86.838199356254123</v>
      </c>
      <c r="AF261" s="98" t="str">
        <f t="shared" si="143"/>
        <v>-0,0000375877424711299</v>
      </c>
      <c r="AG261" s="98" t="str">
        <f t="shared" si="144"/>
        <v>0,0000171312602889355i</v>
      </c>
      <c r="AH261" s="98">
        <f t="shared" si="158"/>
        <v>1.7131260288935498E-5</v>
      </c>
      <c r="AI261" s="98">
        <f t="shared" si="159"/>
        <v>1.5707963267948966</v>
      </c>
      <c r="AJ261" s="98" t="str">
        <f t="shared" si="145"/>
        <v>1+0,0156259442942084i</v>
      </c>
      <c r="AK261" s="98">
        <f t="shared" si="160"/>
        <v>1.0001220776160706</v>
      </c>
      <c r="AL261" s="98">
        <f t="shared" si="161"/>
        <v>1.5624672684186996E-2</v>
      </c>
      <c r="AM261" s="98" t="str">
        <f t="shared" si="146"/>
        <v>1+1,21762165923332i</v>
      </c>
      <c r="AN261" s="98">
        <f t="shared" si="162"/>
        <v>1.5756276543124341</v>
      </c>
      <c r="AO261" s="98">
        <f t="shared" si="163"/>
        <v>0.88321786890362042</v>
      </c>
      <c r="AP261" s="168" t="str">
        <f t="shared" si="164"/>
        <v>-2,63665811121829+2,23530285700226i</v>
      </c>
      <c r="AQ261" s="98">
        <f t="shared" si="165"/>
        <v>10.773150183694016</v>
      </c>
      <c r="AR261" s="169">
        <f t="shared" si="166"/>
        <v>139.70942847763894</v>
      </c>
      <c r="AS261" s="168" t="str">
        <f t="shared" si="167"/>
        <v>16,6832640305836+22,0362206800673i</v>
      </c>
      <c r="AT261" s="190">
        <f t="shared" si="168"/>
        <v>28.830514736138401</v>
      </c>
      <c r="AU261" s="169">
        <f t="shared" si="169"/>
        <v>52.871229121384793</v>
      </c>
      <c r="AV261" s="225"/>
      <c r="AX261">
        <f t="shared" si="170"/>
        <v>0</v>
      </c>
      <c r="AY261">
        <f t="shared" si="171"/>
        <v>0</v>
      </c>
    </row>
    <row r="262" spans="14:51" x14ac:dyDescent="0.25">
      <c r="N262" s="170">
        <v>44</v>
      </c>
      <c r="O262" s="199">
        <f t="shared" si="172"/>
        <v>2754.228703338169</v>
      </c>
      <c r="P262" s="189" t="str">
        <f t="shared" si="138"/>
        <v>120,833333333333</v>
      </c>
      <c r="Q262" s="160" t="str">
        <f t="shared" si="139"/>
        <v>1+15,4305853116055i</v>
      </c>
      <c r="R262" s="160">
        <f t="shared" si="147"/>
        <v>15.462954538468233</v>
      </c>
      <c r="S262" s="160">
        <f t="shared" si="148"/>
        <v>1.506080469134409</v>
      </c>
      <c r="T262" s="160" t="str">
        <f t="shared" si="140"/>
        <v>1+0,0010383197592856i</v>
      </c>
      <c r="U262" s="160">
        <f t="shared" si="149"/>
        <v>1.000000539053816</v>
      </c>
      <c r="V262" s="160">
        <f t="shared" si="150"/>
        <v>1.0383193861455884E-3</v>
      </c>
      <c r="W262" s="98" t="str">
        <f t="shared" si="141"/>
        <v>1-0,00888801713948474i</v>
      </c>
      <c r="X262" s="160">
        <f t="shared" si="151"/>
        <v>1.0000394976443039</v>
      </c>
      <c r="Y262" s="160">
        <f t="shared" si="152"/>
        <v>-8.8877831087955991E-3</v>
      </c>
      <c r="Z262" s="98" t="str">
        <f t="shared" si="142"/>
        <v>0,999993730763843+0,00344265781644301i</v>
      </c>
      <c r="AA262" s="160">
        <f t="shared" si="153"/>
        <v>0.99999965672985636</v>
      </c>
      <c r="AB262" s="160">
        <f t="shared" si="154"/>
        <v>3.4426657985835857E-3</v>
      </c>
      <c r="AC262" s="171" t="str">
        <f t="shared" si="155"/>
        <v>0,417291366353037-7,80354177726392i</v>
      </c>
      <c r="AD262" s="190">
        <f t="shared" si="156"/>
        <v>17.8582362719334</v>
      </c>
      <c r="AE262" s="169">
        <f t="shared" si="157"/>
        <v>-86.939045851766451</v>
      </c>
      <c r="AF262" s="98" t="str">
        <f t="shared" si="143"/>
        <v>-0,0000375877424711299</v>
      </c>
      <c r="AG262" s="98" t="str">
        <f t="shared" si="144"/>
        <v>0,0000175302986026052i</v>
      </c>
      <c r="AH262" s="98">
        <f t="shared" si="158"/>
        <v>1.75302986026052E-5</v>
      </c>
      <c r="AI262" s="98">
        <f t="shared" si="159"/>
        <v>1.5707963267948966</v>
      </c>
      <c r="AJ262" s="98" t="str">
        <f t="shared" si="145"/>
        <v>1+0,0159899192940329i</v>
      </c>
      <c r="AK262" s="98">
        <f t="shared" si="160"/>
        <v>1.000127830589185</v>
      </c>
      <c r="AL262" s="98">
        <f t="shared" si="161"/>
        <v>1.5988556748751916E-2</v>
      </c>
      <c r="AM262" s="98" t="str">
        <f t="shared" si="146"/>
        <v>1+1,24598371114272i</v>
      </c>
      <c r="AN262" s="98">
        <f t="shared" si="162"/>
        <v>1.5976468347018953</v>
      </c>
      <c r="AO262" s="98">
        <f t="shared" si="163"/>
        <v>0.89448497693465534</v>
      </c>
      <c r="AP262" s="168" t="str">
        <f t="shared" si="164"/>
        <v>-2,63662777793662+2,18631817728592i</v>
      </c>
      <c r="AQ262" s="98">
        <f t="shared" si="165"/>
        <v>10.69364399364656</v>
      </c>
      <c r="AR262" s="169">
        <f t="shared" si="166"/>
        <v>140.33413719400355</v>
      </c>
      <c r="AS262" s="168" t="str">
        <f t="shared" si="167"/>
        <v>15,9607832268226+21,4873667157051i</v>
      </c>
      <c r="AT262" s="190">
        <f t="shared" si="168"/>
        <v>28.55188026557996</v>
      </c>
      <c r="AU262" s="169">
        <f t="shared" si="169"/>
        <v>53.395091342237201</v>
      </c>
      <c r="AV262" s="225"/>
      <c r="AX262">
        <f t="shared" si="170"/>
        <v>0</v>
      </c>
      <c r="AY262">
        <f t="shared" si="171"/>
        <v>0</v>
      </c>
    </row>
    <row r="263" spans="14:51" x14ac:dyDescent="0.25">
      <c r="N263" s="170">
        <v>45</v>
      </c>
      <c r="O263" s="199">
        <f t="shared" si="172"/>
        <v>2818.3829312644561</v>
      </c>
      <c r="P263" s="189" t="str">
        <f t="shared" si="138"/>
        <v>120,833333333333</v>
      </c>
      <c r="Q263" s="160" t="str">
        <f t="shared" si="139"/>
        <v>1+15,7900098161563i</v>
      </c>
      <c r="R263" s="160">
        <f t="shared" si="147"/>
        <v>15.821643719737599</v>
      </c>
      <c r="S263" s="160">
        <f t="shared" si="148"/>
        <v>1.5075496110828206</v>
      </c>
      <c r="T263" s="160" t="str">
        <f t="shared" si="140"/>
        <v>1+0,00106250533342359i</v>
      </c>
      <c r="U263" s="160">
        <f t="shared" si="149"/>
        <v>1.0000005644586325</v>
      </c>
      <c r="V263" s="160">
        <f t="shared" si="150"/>
        <v>1.0625049335968764E-3</v>
      </c>
      <c r="W263" s="98" t="str">
        <f t="shared" si="141"/>
        <v>1-0,00909504565410597i</v>
      </c>
      <c r="X263" s="160">
        <f t="shared" si="151"/>
        <v>1.0000413590724386</v>
      </c>
      <c r="Y263" s="160">
        <f t="shared" si="152"/>
        <v>-9.0947948862646674E-3</v>
      </c>
      <c r="Z263" s="98" t="str">
        <f t="shared" si="142"/>
        <v>0,999993435303845+0,00352284761838669i</v>
      </c>
      <c r="AA263" s="160">
        <f t="shared" si="153"/>
        <v>0.99999964055299928</v>
      </c>
      <c r="AB263" s="160">
        <f t="shared" si="154"/>
        <v>3.5228561714032154E-3</v>
      </c>
      <c r="AC263" s="171" t="str">
        <f t="shared" si="155"/>
        <v>0,394620655457249-7,62733881160232i</v>
      </c>
      <c r="AD263" s="190">
        <f t="shared" si="156"/>
        <v>17.659070369378028</v>
      </c>
      <c r="AE263" s="169">
        <f t="shared" si="157"/>
        <v>-87.038291226200528</v>
      </c>
      <c r="AF263" s="98" t="str">
        <f t="shared" si="143"/>
        <v>-0,0000375877424711299</v>
      </c>
      <c r="AG263" s="98" t="str">
        <f t="shared" si="144"/>
        <v>0,000017938631712635i</v>
      </c>
      <c r="AH263" s="98">
        <f t="shared" si="158"/>
        <v>1.7938631712635001E-5</v>
      </c>
      <c r="AI263" s="98">
        <f t="shared" si="159"/>
        <v>1.5707963267948966</v>
      </c>
      <c r="AJ263" s="98" t="str">
        <f t="shared" si="145"/>
        <v>1+0,0163623723607187i</v>
      </c>
      <c r="AK263" s="98">
        <f t="shared" si="160"/>
        <v>1.0001338546561009</v>
      </c>
      <c r="AL263" s="98">
        <f t="shared" si="161"/>
        <v>1.636091237769904E-2</v>
      </c>
      <c r="AM263" s="98" t="str">
        <f t="shared" si="146"/>
        <v>1+1,27500640010831i</v>
      </c>
      <c r="AN263" s="98">
        <f t="shared" si="162"/>
        <v>1.6203830782617892</v>
      </c>
      <c r="AO263" s="98">
        <f t="shared" si="163"/>
        <v>0.90569607787395534</v>
      </c>
      <c r="AP263" s="168" t="str">
        <f t="shared" si="164"/>
        <v>-2,63659601583946+2,13849266668942i</v>
      </c>
      <c r="AQ263" s="98">
        <f t="shared" si="165"/>
        <v>10.616329993527069</v>
      </c>
      <c r="AR263" s="169">
        <f t="shared" si="166"/>
        <v>140.95515155550402</v>
      </c>
      <c r="AS263" s="168" t="str">
        <f t="shared" si="167"/>
        <v>15,2705528670206+20,9541044999479i</v>
      </c>
      <c r="AT263" s="190">
        <f t="shared" si="168"/>
        <v>28.275400362905106</v>
      </c>
      <c r="AU263" s="169">
        <f t="shared" si="169"/>
        <v>53.916860329303582</v>
      </c>
      <c r="AV263" s="225"/>
      <c r="AX263">
        <f t="shared" si="170"/>
        <v>0</v>
      </c>
      <c r="AY263">
        <f t="shared" si="171"/>
        <v>0</v>
      </c>
    </row>
    <row r="264" spans="14:51" x14ac:dyDescent="0.25">
      <c r="N264" s="170">
        <v>46</v>
      </c>
      <c r="O264" s="199">
        <f t="shared" si="172"/>
        <v>2884.0315031266077</v>
      </c>
      <c r="P264" s="189" t="str">
        <f t="shared" si="138"/>
        <v>120,833333333333</v>
      </c>
      <c r="Q264" s="160" t="str">
        <f t="shared" si="139"/>
        <v>1+16,157806392917i</v>
      </c>
      <c r="R264" s="160">
        <f t="shared" si="147"/>
        <v>16.188721612004741</v>
      </c>
      <c r="S264" s="160">
        <f t="shared" si="148"/>
        <v>1.5089855754941848</v>
      </c>
      <c r="T264" s="160" t="str">
        <f t="shared" si="140"/>
        <v>1+0,00108725426195329i</v>
      </c>
      <c r="U264" s="160">
        <f t="shared" si="149"/>
        <v>1.0000005910607404</v>
      </c>
      <c r="V264" s="160">
        <f t="shared" si="150"/>
        <v>1.0872538335312612E-3</v>
      </c>
      <c r="W264" s="98" t="str">
        <f t="shared" si="141"/>
        <v>1-0,00930689648232017i</v>
      </c>
      <c r="X264" s="160">
        <f t="shared" si="151"/>
        <v>1.0000433082232651</v>
      </c>
      <c r="Y264" s="160">
        <f t="shared" si="152"/>
        <v>-9.306627780365553E-3</v>
      </c>
      <c r="Z264" s="98" t="str">
        <f t="shared" si="142"/>
        <v>0,999993125919247+0,00360490528076805i</v>
      </c>
      <c r="AA264" s="160">
        <f t="shared" si="153"/>
        <v>0.99999962361384442</v>
      </c>
      <c r="AB264" s="160">
        <f t="shared" si="154"/>
        <v>3.604914445489027E-3</v>
      </c>
      <c r="AC264" s="171" t="str">
        <f t="shared" si="155"/>
        <v>0,372962324760185-7,45505118097028i</v>
      </c>
      <c r="AD264" s="190">
        <f t="shared" si="156"/>
        <v>17.459868592774882</v>
      </c>
      <c r="AE264" s="169">
        <f t="shared" si="157"/>
        <v>-87.135986642562102</v>
      </c>
      <c r="AF264" s="98" t="str">
        <f t="shared" si="143"/>
        <v>-0,0000375877424711299</v>
      </c>
      <c r="AG264" s="98" t="str">
        <f t="shared" si="144"/>
        <v>0,0000183564761226447i</v>
      </c>
      <c r="AH264" s="98">
        <f t="shared" si="158"/>
        <v>1.83564761226447E-5</v>
      </c>
      <c r="AI264" s="98">
        <f t="shared" si="159"/>
        <v>1.5707963267948966</v>
      </c>
      <c r="AJ264" s="98" t="str">
        <f t="shared" si="145"/>
        <v>1+0,0167435009738118i</v>
      </c>
      <c r="AK264" s="98">
        <f t="shared" si="160"/>
        <v>1.0001401625896542</v>
      </c>
      <c r="AL264" s="98">
        <f t="shared" si="161"/>
        <v>1.674193658566156E-2</v>
      </c>
      <c r="AM264" s="98" t="str">
        <f t="shared" si="146"/>
        <v>1+1,30470511434395i</v>
      </c>
      <c r="AN264" s="98">
        <f t="shared" si="162"/>
        <v>1.643853836384263</v>
      </c>
      <c r="AO264" s="98">
        <f t="shared" si="163"/>
        <v>0.91684584372800615</v>
      </c>
      <c r="AP264" s="168" t="str">
        <f t="shared" si="164"/>
        <v>-2,63656275766097+2,09180096422611i</v>
      </c>
      <c r="AQ264" s="98">
        <f t="shared" si="165"/>
        <v>10.541185218152656</v>
      </c>
      <c r="AR264" s="169">
        <f t="shared" si="166"/>
        <v>141.5721550024918</v>
      </c>
      <c r="AS264" s="168" t="str">
        <f t="shared" si="167"/>
        <v>14,6111446732353+20,435873250756i</v>
      </c>
      <c r="AT264" s="190">
        <f t="shared" si="168"/>
        <v>28.00105381092753</v>
      </c>
      <c r="AU264" s="169">
        <f t="shared" si="169"/>
        <v>54.436168359929596</v>
      </c>
      <c r="AV264" s="225"/>
      <c r="AX264">
        <f t="shared" si="170"/>
        <v>0</v>
      </c>
      <c r="AY264">
        <f t="shared" si="171"/>
        <v>0</v>
      </c>
    </row>
    <row r="265" spans="14:51" x14ac:dyDescent="0.25">
      <c r="N265" s="170">
        <v>47</v>
      </c>
      <c r="O265" s="199">
        <f t="shared" si="172"/>
        <v>2951.2092266663876</v>
      </c>
      <c r="P265" s="189" t="str">
        <f t="shared" si="138"/>
        <v>120,833333333333</v>
      </c>
      <c r="Q265" s="160" t="str">
        <f t="shared" si="139"/>
        <v>1+16,5341700525012i</v>
      </c>
      <c r="R265" s="160">
        <f t="shared" si="147"/>
        <v>16.564382853732511</v>
      </c>
      <c r="S265" s="160">
        <f t="shared" si="148"/>
        <v>1.5103891000348788</v>
      </c>
      <c r="T265" s="160" t="str">
        <f t="shared" si="140"/>
        <v>1+0,00111257966708418i</v>
      </c>
      <c r="U265" s="160">
        <f t="shared" si="149"/>
        <v>1.0000006189165662</v>
      </c>
      <c r="V265" s="160">
        <f t="shared" si="150"/>
        <v>1.1125792080217208E-3</v>
      </c>
      <c r="W265" s="98" t="str">
        <f t="shared" si="141"/>
        <v>1-0,00952368195024062i</v>
      </c>
      <c r="X265" s="160">
        <f t="shared" si="151"/>
        <v>1.0000453492306682</v>
      </c>
      <c r="Y265" s="160">
        <f t="shared" si="152"/>
        <v>-9.5233940316140457E-3</v>
      </c>
      <c r="Z265" s="98" t="str">
        <f t="shared" si="142"/>
        <v>0,999992801953802+0,00368887431164582i</v>
      </c>
      <c r="AA265" s="160">
        <f t="shared" si="153"/>
        <v>0.99999960587647396</v>
      </c>
      <c r="AB265" s="160">
        <f t="shared" si="154"/>
        <v>3.6888841318197625E-3</v>
      </c>
      <c r="AC265" s="171" t="str">
        <f t="shared" si="155"/>
        <v>0,352271507028997-7,28659606686517i</v>
      </c>
      <c r="AD265" s="190">
        <f t="shared" si="156"/>
        <v>17.260632615883939</v>
      </c>
      <c r="AE265" s="169">
        <f t="shared" si="157"/>
        <v>-87.232182538085226</v>
      </c>
      <c r="AF265" s="98" t="str">
        <f t="shared" si="143"/>
        <v>-0,0000375877424711299</v>
      </c>
      <c r="AG265" s="98" t="str">
        <f t="shared" si="144"/>
        <v>0,0000187840533792713i</v>
      </c>
      <c r="AH265" s="98">
        <f t="shared" si="158"/>
        <v>1.8784053379271301E-5</v>
      </c>
      <c r="AI265" s="98">
        <f t="shared" si="159"/>
        <v>1.5707963267948966</v>
      </c>
      <c r="AJ265" s="98" t="str">
        <f t="shared" si="145"/>
        <v>1+0,0171335072127475i</v>
      </c>
      <c r="AK265" s="98">
        <f t="shared" si="160"/>
        <v>1.0001467677643163</v>
      </c>
      <c r="AL265" s="98">
        <f t="shared" si="161"/>
        <v>1.7131830953928812E-2</v>
      </c>
      <c r="AM265" s="98" t="str">
        <f t="shared" si="146"/>
        <v>1+1,33509560050102i</v>
      </c>
      <c r="AN265" s="98">
        <f t="shared" si="162"/>
        <v>1.6680768155205501</v>
      </c>
      <c r="AO265" s="98">
        <f t="shared" si="163"/>
        <v>0.92792909790545264</v>
      </c>
      <c r="AP265" s="168" t="str">
        <f t="shared" si="164"/>
        <v>-2,63652793297207+2,04621830983595i</v>
      </c>
      <c r="AQ265" s="98">
        <f t="shared" si="165"/>
        <v>10.468184787386143</v>
      </c>
      <c r="AR265" s="169">
        <f t="shared" si="166"/>
        <v>142.18483938837247</v>
      </c>
      <c r="AS265" s="168" t="str">
        <f t="shared" si="167"/>
        <v>13,981192620126+19,9321384742907i</v>
      </c>
      <c r="AT265" s="190">
        <f t="shared" si="168"/>
        <v>27.728817403270089</v>
      </c>
      <c r="AU265" s="169">
        <f t="shared" si="169"/>
        <v>54.952656850287305</v>
      </c>
      <c r="AV265" s="225"/>
      <c r="AX265">
        <f t="shared" si="170"/>
        <v>0</v>
      </c>
      <c r="AY265">
        <f t="shared" si="171"/>
        <v>0</v>
      </c>
    </row>
    <row r="266" spans="14:51" x14ac:dyDescent="0.25">
      <c r="N266" s="170">
        <v>48</v>
      </c>
      <c r="O266" s="199">
        <f t="shared" si="172"/>
        <v>3019.9517204020176</v>
      </c>
      <c r="P266" s="189" t="str">
        <f t="shared" si="138"/>
        <v>120,833333333333</v>
      </c>
      <c r="Q266" s="160" t="str">
        <f t="shared" si="139"/>
        <v>1+16,9193003479027i</v>
      </c>
      <c r="R266" s="160">
        <f t="shared" si="147"/>
        <v>16.948826633797999</v>
      </c>
      <c r="S266" s="160">
        <f t="shared" si="148"/>
        <v>1.5117609067414899</v>
      </c>
      <c r="T266" s="160" t="str">
        <f t="shared" si="140"/>
        <v>1+0,0011384949766813i</v>
      </c>
      <c r="U266" s="160">
        <f t="shared" si="149"/>
        <v>1.000000648085196</v>
      </c>
      <c r="V266" s="160">
        <f t="shared" si="150"/>
        <v>1.1384944847870296E-3</v>
      </c>
      <c r="W266" s="98" t="str">
        <f t="shared" si="141"/>
        <v>1-0,00974551700039193i</v>
      </c>
      <c r="X266" s="160">
        <f t="shared" si="151"/>
        <v>1.0000474864233222</v>
      </c>
      <c r="Y266" s="160">
        <f t="shared" si="152"/>
        <v>-9.7452084908164083E-3</v>
      </c>
      <c r="Z266" s="98" t="str">
        <f t="shared" si="142"/>
        <v>0,999992462720336+0,00377479923251166i</v>
      </c>
      <c r="AA266" s="160">
        <f t="shared" si="153"/>
        <v>0.99999958730327898</v>
      </c>
      <c r="AB266" s="160">
        <f t="shared" si="154"/>
        <v>3.774809755015924E-3</v>
      </c>
      <c r="AC266" s="171" t="str">
        <f t="shared" si="155"/>
        <v>0,332505293533118-7,12189212046621i</v>
      </c>
      <c r="AD266" s="190">
        <f t="shared" si="156"/>
        <v>17.061364041617495</v>
      </c>
      <c r="AE266" s="169">
        <f t="shared" si="157"/>
        <v>-87.326928644606653</v>
      </c>
      <c r="AF266" s="98" t="str">
        <f t="shared" si="143"/>
        <v>-0,0000375877424711299</v>
      </c>
      <c r="AG266" s="98" t="str">
        <f t="shared" si="144"/>
        <v>0,000019221590189636i</v>
      </c>
      <c r="AH266" s="98">
        <f t="shared" si="158"/>
        <v>1.9221590189636001E-5</v>
      </c>
      <c r="AI266" s="98">
        <f t="shared" si="159"/>
        <v>1.5707963267948966</v>
      </c>
      <c r="AJ266" s="98" t="str">
        <f t="shared" si="145"/>
        <v>1+0,0175325978639963i</v>
      </c>
      <c r="AK266" s="98">
        <f t="shared" si="160"/>
        <v>1.000153684184516</v>
      </c>
      <c r="AL266" s="98">
        <f t="shared" si="161"/>
        <v>1.7530801735217427E-2</v>
      </c>
      <c r="AM266" s="98" t="str">
        <f t="shared" si="146"/>
        <v>1+1,36619397201756i</v>
      </c>
      <c r="AN266" s="98">
        <f t="shared" si="162"/>
        <v>1.6930699835438339</v>
      </c>
      <c r="AO266" s="98">
        <f t="shared" si="163"/>
        <v>0.9389408257235613</v>
      </c>
      <c r="AP266" s="168" t="str">
        <f t="shared" si="164"/>
        <v>-2,63649146803215+2,00172053124064i</v>
      </c>
      <c r="AQ266" s="98">
        <f t="shared" si="165"/>
        <v>10.397302001040421</v>
      </c>
      <c r="AR266" s="169">
        <f t="shared" si="166"/>
        <v>142.79290557558005</v>
      </c>
      <c r="AS266" s="168" t="str">
        <f t="shared" si="167"/>
        <v>13,3793903093426+19,442390484666i</v>
      </c>
      <c r="AT266" s="190">
        <f t="shared" si="168"/>
        <v>27.458666042657924</v>
      </c>
      <c r="AU266" s="169">
        <f t="shared" si="169"/>
        <v>55.465976930973312</v>
      </c>
      <c r="AV266" s="225"/>
      <c r="AX266">
        <f t="shared" si="170"/>
        <v>0</v>
      </c>
      <c r="AY266">
        <f t="shared" si="171"/>
        <v>0</v>
      </c>
    </row>
    <row r="267" spans="14:51" x14ac:dyDescent="0.25">
      <c r="N267" s="170">
        <v>49</v>
      </c>
      <c r="O267" s="199">
        <f t="shared" si="172"/>
        <v>3090.295432513592</v>
      </c>
      <c r="P267" s="189" t="str">
        <f t="shared" si="138"/>
        <v>120,833333333333</v>
      </c>
      <c r="Q267" s="160" t="str">
        <f t="shared" si="139"/>
        <v>1+17,3134014803022i</v>
      </c>
      <c r="R267" s="160">
        <f t="shared" si="147"/>
        <v>17.342256797145243</v>
      </c>
      <c r="S267" s="160">
        <f t="shared" si="148"/>
        <v>1.5131017023001072</v>
      </c>
      <c r="T267" s="160" t="str">
        <f t="shared" si="140"/>
        <v>1+0,00116501393138481i</v>
      </c>
      <c r="U267" s="160">
        <f t="shared" si="149"/>
        <v>1.0000006786284998</v>
      </c>
      <c r="V267" s="160">
        <f t="shared" si="150"/>
        <v>1.1650134043106226E-3</v>
      </c>
      <c r="W267" s="98" t="str">
        <f t="shared" si="141"/>
        <v>1-0,00997251925265401i</v>
      </c>
      <c r="X267" s="160">
        <f t="shared" si="151"/>
        <v>1.0000497243338675</v>
      </c>
      <c r="Y267" s="160">
        <f t="shared" si="152"/>
        <v>-9.9721886795757116E-3</v>
      </c>
      <c r="Z267" s="98" t="str">
        <f t="shared" si="142"/>
        <v>0,999992107499289+0,00386272560189595i</v>
      </c>
      <c r="AA267" s="160">
        <f t="shared" si="153"/>
        <v>0.9999995678548792</v>
      </c>
      <c r="AB267" s="160">
        <f t="shared" si="154"/>
        <v>3.8627368769605062E-3</v>
      </c>
      <c r="AC267" s="171" t="str">
        <f t="shared" si="155"/>
        <v>0,313622651187157-6,96085945628011i</v>
      </c>
      <c r="AD267" s="190">
        <f t="shared" si="156"/>
        <v>16.862064405290845</v>
      </c>
      <c r="AE267" s="169">
        <f t="shared" si="157"/>
        <v>-87.420274008980527</v>
      </c>
      <c r="AF267" s="98" t="str">
        <f t="shared" si="143"/>
        <v>-0,0000375877424711299</v>
      </c>
      <c r="AG267" s="98" t="str">
        <f t="shared" si="144"/>
        <v>0,000019669318541547i</v>
      </c>
      <c r="AH267" s="98">
        <f t="shared" si="158"/>
        <v>1.9669318541546999E-5</v>
      </c>
      <c r="AI267" s="98">
        <f t="shared" si="159"/>
        <v>1.5707963267948966</v>
      </c>
      <c r="AJ267" s="98" t="str">
        <f t="shared" si="145"/>
        <v>1+0,0179409845307039i</v>
      </c>
      <c r="AK267" s="98">
        <f t="shared" si="160"/>
        <v>1.0001609265142939</v>
      </c>
      <c r="AL267" s="98">
        <f t="shared" si="161"/>
        <v>1.7939059960767036E-2</v>
      </c>
      <c r="AM267" s="98" t="str">
        <f t="shared" si="146"/>
        <v>1+1,39801671766178i</v>
      </c>
      <c r="AN267" s="98">
        <f t="shared" si="162"/>
        <v>1.7188515767400678</v>
      </c>
      <c r="AO267" s="98">
        <f t="shared" si="163"/>
        <v>0.94987618399335016</v>
      </c>
      <c r="AP267" s="168" t="str">
        <f t="shared" si="164"/>
        <v>-2,63645328563364+1,95828403110939i</v>
      </c>
      <c r="AQ267" s="98">
        <f t="shared" si="165"/>
        <v>10.328508438862116</v>
      </c>
      <c r="AR267" s="169">
        <f t="shared" si="166"/>
        <v>143.39606397862696</v>
      </c>
      <c r="AS267" s="168" t="str">
        <f t="shared" si="167"/>
        <v>12,8044884468586+18,9661430139577i</v>
      </c>
      <c r="AT267" s="190">
        <f t="shared" si="168"/>
        <v>27.19057284415296</v>
      </c>
      <c r="AU267" s="169">
        <f t="shared" si="169"/>
        <v>55.975789969646492</v>
      </c>
      <c r="AV267" s="225"/>
      <c r="AX267">
        <f t="shared" si="170"/>
        <v>0</v>
      </c>
      <c r="AY267">
        <f t="shared" si="171"/>
        <v>0</v>
      </c>
    </row>
    <row r="268" spans="14:51" x14ac:dyDescent="0.25">
      <c r="N268" s="170">
        <v>50</v>
      </c>
      <c r="O268" s="199">
        <f t="shared" si="172"/>
        <v>3162.2776601683804</v>
      </c>
      <c r="P268" s="189" t="str">
        <f t="shared" si="138"/>
        <v>120,833333333333</v>
      </c>
      <c r="Q268" s="160" t="str">
        <f t="shared" si="139"/>
        <v>1+17,7166824073364i</v>
      </c>
      <c r="R268" s="160">
        <f t="shared" si="147"/>
        <v>17.744881952901888</v>
      </c>
      <c r="S268" s="160">
        <f t="shared" si="148"/>
        <v>1.5144121783242415</v>
      </c>
      <c r="T268" s="160" t="str">
        <f t="shared" si="140"/>
        <v>1+0,00119215059189553i</v>
      </c>
      <c r="U268" s="160">
        <f t="shared" si="149"/>
        <v>1.0000007106112643</v>
      </c>
      <c r="V268" s="160">
        <f t="shared" si="150"/>
        <v>1.1921500271253847E-3</v>
      </c>
      <c r="W268" s="98" t="str">
        <f t="shared" si="141"/>
        <v>1-0,0102048090666257i</v>
      </c>
      <c r="X268" s="160">
        <f t="shared" si="151"/>
        <v>1.0000520677085201</v>
      </c>
      <c r="Y268" s="160">
        <f t="shared" si="152"/>
        <v>-1.0204454852186549E-2</v>
      </c>
      <c r="Z268" s="98" t="str">
        <f t="shared" si="142"/>
        <v>0,99999173553719+0,00395270003952358i</v>
      </c>
      <c r="AA268" s="160">
        <f t="shared" si="153"/>
        <v>0.9999995474900395</v>
      </c>
      <c r="AB268" s="160">
        <f t="shared" si="154"/>
        <v>3.9527121209707843E-3</v>
      </c>
      <c r="AC268" s="171" t="str">
        <f t="shared" si="155"/>
        <v>0,295584342965955-6,80341964419056i</v>
      </c>
      <c r="AD268" s="190">
        <f t="shared" si="156"/>
        <v>16.66273517774416</v>
      </c>
      <c r="AE268" s="169">
        <f t="shared" si="157"/>
        <v>-87.512267013515668</v>
      </c>
      <c r="AF268" s="98" t="str">
        <f t="shared" si="143"/>
        <v>-0,0000375877424711299</v>
      </c>
      <c r="AG268" s="98" t="str">
        <f t="shared" si="144"/>
        <v>0,0000201274758265029i</v>
      </c>
      <c r="AH268" s="98">
        <f t="shared" si="158"/>
        <v>2.01274758265029E-5</v>
      </c>
      <c r="AI268" s="98">
        <f t="shared" si="159"/>
        <v>1.5707963267948966</v>
      </c>
      <c r="AJ268" s="98" t="str">
        <f t="shared" si="145"/>
        <v>1+0,0183588837448867i</v>
      </c>
      <c r="AK268" s="98">
        <f t="shared" si="160"/>
        <v>1.0001685101083508</v>
      </c>
      <c r="AL268" s="98">
        <f t="shared" si="161"/>
        <v>1.8356821549809745E-2</v>
      </c>
      <c r="AM268" s="98" t="str">
        <f t="shared" si="146"/>
        <v>1+1,43058071027464i</v>
      </c>
      <c r="AN268" s="98">
        <f t="shared" si="162"/>
        <v>1.7454401074256007</v>
      </c>
      <c r="AO268" s="98">
        <f t="shared" si="163"/>
        <v>0.96073050965153073</v>
      </c>
      <c r="AP268" s="168" t="str">
        <f t="shared" si="164"/>
        <v>-2,63641330493946+1,91588577452812i</v>
      </c>
      <c r="AQ268" s="98">
        <f t="shared" si="165"/>
        <v>10.261774064828694</v>
      </c>
      <c r="AR268" s="169">
        <f t="shared" si="166"/>
        <v>143.99403505240639</v>
      </c>
      <c r="AS268" s="168" t="str">
        <f t="shared" si="167"/>
        <v>12,2552924199226+18,5029319068922i</v>
      </c>
      <c r="AT268" s="190">
        <f t="shared" si="168"/>
        <v>26.924509242572853</v>
      </c>
      <c r="AU268" s="169">
        <f t="shared" si="169"/>
        <v>56.481768038890799</v>
      </c>
      <c r="AV268" s="225"/>
      <c r="AX268">
        <f t="shared" si="170"/>
        <v>0</v>
      </c>
      <c r="AY268">
        <f t="shared" si="171"/>
        <v>0</v>
      </c>
    </row>
    <row r="269" spans="14:51" x14ac:dyDescent="0.25">
      <c r="N269" s="170">
        <v>51</v>
      </c>
      <c r="O269" s="199">
        <f t="shared" si="172"/>
        <v>3235.9365692962833</v>
      </c>
      <c r="P269" s="189" t="str">
        <f t="shared" si="138"/>
        <v>120,833333333333</v>
      </c>
      <c r="Q269" s="160" t="str">
        <f t="shared" si="139"/>
        <v>1+18,1293569538911i</v>
      </c>
      <c r="R269" s="160">
        <f t="shared" si="147"/>
        <v>18.156915585021583</v>
      </c>
      <c r="S269" s="160">
        <f t="shared" si="148"/>
        <v>1.5156930116310976</v>
      </c>
      <c r="T269" s="160" t="str">
        <f t="shared" si="140"/>
        <v>1+0,00121991934643005i</v>
      </c>
      <c r="U269" s="160">
        <f t="shared" si="149"/>
        <v>1.000000744101329</v>
      </c>
      <c r="V269" s="160">
        <f t="shared" si="150"/>
        <v>1.2199187412679606E-3</v>
      </c>
      <c r="W269" s="98" t="str">
        <f t="shared" si="141"/>
        <v>1-0,0104425096054412i</v>
      </c>
      <c r="X269" s="160">
        <f t="shared" si="151"/>
        <v>1.0000545215171319</v>
      </c>
      <c r="Y269" s="160">
        <f t="shared" si="152"/>
        <v>-1.0442130058949018E-2</v>
      </c>
      <c r="Z269" s="98" t="str">
        <f t="shared" si="142"/>
        <v>0,999991346045057+0,00404477025103233i</v>
      </c>
      <c r="AA269" s="160">
        <f t="shared" si="153"/>
        <v>0.99999952616558208</v>
      </c>
      <c r="AB269" s="160">
        <f t="shared" si="154"/>
        <v>4.0447831965338514E-3</v>
      </c>
      <c r="AC269" s="171" t="str">
        <f t="shared" si="155"/>
        <v>0,278352851483425-6,64949570005507i</v>
      </c>
      <c r="AD269" s="190">
        <f t="shared" si="156"/>
        <v>16.463377768338571</v>
      </c>
      <c r="AE269" s="169">
        <f t="shared" si="157"/>
        <v>-87.602955396422828</v>
      </c>
      <c r="AF269" s="98" t="str">
        <f t="shared" si="143"/>
        <v>-0,0000375877424711299</v>
      </c>
      <c r="AG269" s="98" t="str">
        <f t="shared" si="144"/>
        <v>0,0000205963049655607i</v>
      </c>
      <c r="AH269" s="98">
        <f t="shared" si="158"/>
        <v>2.0596304965560699E-5</v>
      </c>
      <c r="AI269" s="98">
        <f t="shared" si="159"/>
        <v>1.5707963267948966</v>
      </c>
      <c r="AJ269" s="98" t="str">
        <f t="shared" si="145"/>
        <v>1+0,0187865170822396i</v>
      </c>
      <c r="AK269" s="98">
        <f t="shared" si="160"/>
        <v>1.000176451044555</v>
      </c>
      <c r="AL269" s="98">
        <f t="shared" si="161"/>
        <v>1.8784307421457321E-2</v>
      </c>
      <c r="AM269" s="98" t="str">
        <f t="shared" si="146"/>
        <v>1+1,46390321571606i</v>
      </c>
      <c r="AN269" s="98">
        <f t="shared" si="162"/>
        <v>1.7728543721873551</v>
      </c>
      <c r="AO269" s="98">
        <f t="shared" si="163"/>
        <v>0.97149932741660205</v>
      </c>
      <c r="AP269" s="168" t="str">
        <f t="shared" si="164"/>
        <v>-2,63637144131283+1,87450327676552i</v>
      </c>
      <c r="AQ269" s="98">
        <f t="shared" si="165"/>
        <v>10.197067334983309</v>
      </c>
      <c r="AR269" s="169">
        <f t="shared" si="166"/>
        <v>144.58654972444364</v>
      </c>
      <c r="AS269" s="168" t="str">
        <f t="shared" si="167"/>
        <v>11,7306599703326+18,0523138949604i</v>
      </c>
      <c r="AT269" s="190">
        <f t="shared" si="168"/>
        <v>26.660445103321901</v>
      </c>
      <c r="AU269" s="169">
        <f t="shared" si="169"/>
        <v>56.983594328020835</v>
      </c>
      <c r="AV269" s="225"/>
      <c r="AX269">
        <f t="shared" si="170"/>
        <v>0</v>
      </c>
      <c r="AY269">
        <f t="shared" si="171"/>
        <v>0</v>
      </c>
    </row>
    <row r="270" spans="14:51" x14ac:dyDescent="0.25">
      <c r="N270" s="170">
        <v>52</v>
      </c>
      <c r="O270" s="199">
        <f t="shared" si="172"/>
        <v>3311.3112148259115</v>
      </c>
      <c r="P270" s="189" t="str">
        <f t="shared" si="138"/>
        <v>120,833333333333</v>
      </c>
      <c r="Q270" s="160" t="str">
        <f t="shared" si="139"/>
        <v>1+18,5516439254732i</v>
      </c>
      <c r="R270" s="160">
        <f t="shared" si="147"/>
        <v>18.578576165507048</v>
      </c>
      <c r="S270" s="160">
        <f t="shared" si="148"/>
        <v>1.5169448645159251</v>
      </c>
      <c r="T270" s="160" t="str">
        <f t="shared" si="140"/>
        <v>1+0,00124833491834959i</v>
      </c>
      <c r="U270" s="160">
        <f t="shared" si="149"/>
        <v>1.0000007791697305</v>
      </c>
      <c r="V270" s="160">
        <f t="shared" si="150"/>
        <v>1.2483342699067556E-3</v>
      </c>
      <c r="W270" s="98" t="str">
        <f t="shared" si="141"/>
        <v>1-0,0106857469010725i</v>
      </c>
      <c r="X270" s="160">
        <f t="shared" si="151"/>
        <v>1.0000570909637279</v>
      </c>
      <c r="Y270" s="160">
        <f t="shared" si="152"/>
        <v>-1.0685340210932813E-2</v>
      </c>
      <c r="Z270" s="98" t="str">
        <f t="shared" si="142"/>
        <v>0,999990938196726+0,00413898505326707i</v>
      </c>
      <c r="AA270" s="160">
        <f t="shared" si="153"/>
        <v>0.99999950383629677</v>
      </c>
      <c r="AB270" s="160">
        <f t="shared" si="154"/>
        <v>4.1389989246191769E-3</v>
      </c>
      <c r="AC270" s="171" t="str">
        <f>(IMDIV(IMPRODUCT(P270,T270,W270),IMPRODUCT(Q270,Z270)))</f>
        <v>0,261892305628793-6,49901207498542i</v>
      </c>
      <c r="AD270" s="190">
        <f t="shared" si="156"/>
        <v>16.263993527832636</v>
      </c>
      <c r="AE270" s="169">
        <f t="shared" si="157"/>
        <v>-87.692386272257522</v>
      </c>
      <c r="AF270" s="98" t="str">
        <f t="shared" si="143"/>
        <v>-0,0000375877424711299</v>
      </c>
      <c r="AG270" s="98" t="str">
        <f t="shared" si="144"/>
        <v>0,0000210760545381356i</v>
      </c>
      <c r="AH270" s="98">
        <f t="shared" si="158"/>
        <v>2.10760545381356E-5</v>
      </c>
      <c r="AI270" s="98">
        <f t="shared" si="159"/>
        <v>1.5707963267948966</v>
      </c>
      <c r="AJ270" s="98" t="str">
        <f t="shared" si="145"/>
        <v>1+0,0192241112796185i</v>
      </c>
      <c r="AK270" s="98">
        <f t="shared" si="160"/>
        <v>1.000184766157979</v>
      </c>
      <c r="AL270" s="98">
        <f t="shared" si="161"/>
        <v>1.9221743609054515E-2</v>
      </c>
      <c r="AM270" s="98" t="str">
        <f t="shared" si="146"/>
        <v>1+1,49800190201951i</v>
      </c>
      <c r="AN270" s="98">
        <f t="shared" si="162"/>
        <v>1.8011134607386812</v>
      </c>
      <c r="AO270" s="98">
        <f t="shared" si="163"/>
        <v>0.98217835645563834</v>
      </c>
      <c r="AP270" s="168" t="str">
        <f t="shared" si="164"/>
        <v>-2,63632760613921+1,83411459132944i</v>
      </c>
      <c r="AQ270" s="98">
        <f t="shared" si="165"/>
        <v>10.134355308031711</v>
      </c>
      <c r="AR270" s="169">
        <f t="shared" si="166"/>
        <v>145.17334977032246</v>
      </c>
      <c r="AS270" s="168" t="str">
        <f t="shared" si="167"/>
        <v>11,2294989607923+17,6138654450268i</v>
      </c>
      <c r="AT270" s="190">
        <f t="shared" si="168"/>
        <v>26.398348835864329</v>
      </c>
      <c r="AU270" s="169">
        <f t="shared" si="169"/>
        <v>57.480963498065044</v>
      </c>
      <c r="AV270" s="225"/>
      <c r="AX270">
        <f t="shared" si="170"/>
        <v>0</v>
      </c>
      <c r="AY270">
        <f t="shared" si="171"/>
        <v>0</v>
      </c>
    </row>
    <row r="271" spans="14:51" x14ac:dyDescent="0.25">
      <c r="N271" s="170">
        <v>53</v>
      </c>
      <c r="O271" s="199">
        <f t="shared" si="172"/>
        <v>3388.4415613920314</v>
      </c>
      <c r="P271" s="189" t="str">
        <f t="shared" si="138"/>
        <v>120,833333333333</v>
      </c>
      <c r="Q271" s="160" t="str">
        <f t="shared" si="139"/>
        <v>1+18,9837672242245i</v>
      </c>
      <c r="R271" s="160">
        <f t="shared" si="147"/>
        <v>19.010087270276809</v>
      </c>
      <c r="S271" s="160">
        <f t="shared" si="148"/>
        <v>1.5181683850242134</v>
      </c>
      <c r="T271" s="160" t="str">
        <f t="shared" si="140"/>
        <v>1+0,0012774123739665i</v>
      </c>
      <c r="U271" s="160">
        <f t="shared" si="149"/>
        <v>1.0000008158908538</v>
      </c>
      <c r="V271" s="160">
        <f t="shared" si="150"/>
        <v>1.2774116791475154E-3</v>
      </c>
      <c r="W271" s="98" t="str">
        <f t="shared" si="141"/>
        <v>1-0,0109346499211533i</v>
      </c>
      <c r="X271" s="160">
        <f t="shared" si="151"/>
        <v>1.0000597814975354</v>
      </c>
      <c r="Y271" s="160">
        <f t="shared" si="152"/>
        <v>-1.0934214146224284E-2</v>
      </c>
      <c r="Z271" s="98" t="str">
        <f t="shared" si="142"/>
        <v>0,999990511127095+0,00423539440016298i</v>
      </c>
      <c r="AA271" s="160">
        <f t="shared" si="153"/>
        <v>0.99999948045484188</v>
      </c>
      <c r="AB271" s="160">
        <f t="shared" si="154"/>
        <v>4.2354092635815358E-3</v>
      </c>
      <c r="AC271" s="171" t="str">
        <f t="shared" si="155"/>
        <v>0,24616841015542-6,35189464343864i</v>
      </c>
      <c r="AD271" s="190">
        <f t="shared" si="156"/>
        <v>16.064583751145033</v>
      </c>
      <c r="AE271" s="169">
        <f t="shared" si="157"/>
        <v>-87.780606152348454</v>
      </c>
      <c r="AF271" s="98" t="str">
        <f t="shared" si="143"/>
        <v>-0,0000375877424711299</v>
      </c>
      <c r="AG271" s="98" t="str">
        <f t="shared" si="144"/>
        <v>0,0000215669789138011i</v>
      </c>
      <c r="AH271" s="98">
        <f t="shared" si="158"/>
        <v>2.15669789138011E-5</v>
      </c>
      <c r="AI271" s="98">
        <f t="shared" si="159"/>
        <v>1.5707963267948966</v>
      </c>
      <c r="AJ271" s="98" t="str">
        <f t="shared" si="145"/>
        <v>1+0,0196718983552591i</v>
      </c>
      <c r="AK271" s="98">
        <f t="shared" si="160"/>
        <v>1.0001934730765343</v>
      </c>
      <c r="AL271" s="98">
        <f t="shared" si="161"/>
        <v>1.9669361377045308E-2</v>
      </c>
      <c r="AM271" s="98" t="str">
        <f t="shared" si="146"/>
        <v>1+1,53289484875981i</v>
      </c>
      <c r="AN271" s="98">
        <f t="shared" si="162"/>
        <v>1.8302367653815617</v>
      </c>
      <c r="AO271" s="98">
        <f t="shared" si="163"/>
        <v>0.9927635160571936</v>
      </c>
      <c r="AP271" s="168" t="str">
        <f t="shared" si="164"/>
        <v>-2,63628170663986+1,79469829830703i</v>
      </c>
      <c r="AQ271" s="98">
        <f t="shared" si="165"/>
        <v>10.073603757933153</v>
      </c>
      <c r="AR271" s="169">
        <f t="shared" si="166"/>
        <v>145.7541881320229</v>
      </c>
      <c r="AS271" s="168" t="str">
        <f t="shared" si="167"/>
        <v>10,7507652311595+17,1871816778039i</v>
      </c>
      <c r="AT271" s="190">
        <f t="shared" si="168"/>
        <v>26.138187509078193</v>
      </c>
      <c r="AU271" s="169">
        <f t="shared" si="169"/>
        <v>57.97358197967452</v>
      </c>
      <c r="AV271" s="225"/>
      <c r="AX271">
        <f t="shared" si="170"/>
        <v>0</v>
      </c>
      <c r="AY271">
        <f t="shared" si="171"/>
        <v>0</v>
      </c>
    </row>
    <row r="272" spans="14:51" x14ac:dyDescent="0.25">
      <c r="N272" s="170">
        <v>54</v>
      </c>
      <c r="O272" s="199">
        <f t="shared" si="172"/>
        <v>3467.3685045253224</v>
      </c>
      <c r="P272" s="189" t="str">
        <f t="shared" si="138"/>
        <v>120,833333333333</v>
      </c>
      <c r="Q272" s="160" t="str">
        <f t="shared" si="139"/>
        <v>1+19,425955967638i</v>
      </c>
      <c r="R272" s="160">
        <f t="shared" si="147"/>
        <v>19.451677697736262</v>
      </c>
      <c r="S272" s="160">
        <f t="shared" si="148"/>
        <v>1.5193642072215179</v>
      </c>
      <c r="T272" s="160" t="str">
        <f t="shared" si="140"/>
        <v>1+0,00130716713053265i</v>
      </c>
      <c r="U272" s="160">
        <f t="shared" si="149"/>
        <v>1.0000008543425887</v>
      </c>
      <c r="V272" s="160">
        <f t="shared" si="150"/>
        <v>1.3071663860207284E-3</v>
      </c>
      <c r="W272" s="98" t="str">
        <f t="shared" si="141"/>
        <v>1-0,0111893506373595i</v>
      </c>
      <c r="X272" s="160">
        <f t="shared" si="151"/>
        <v>1.0000625988245364</v>
      </c>
      <c r="Y272" s="160">
        <f t="shared" si="152"/>
        <v>-1.1188883697688884E-2</v>
      </c>
      <c r="Z272" s="98" t="str">
        <f t="shared" si="142"/>
        <v>0,999990063930292+0,00433404940923192i</v>
      </c>
      <c r="AA272" s="160">
        <f t="shared" si="153"/>
        <v>0.99999945597164752</v>
      </c>
      <c r="AB272" s="160">
        <f t="shared" si="154"/>
        <v>4.3340653356684624E-3</v>
      </c>
      <c r="AC272" s="171" t="str">
        <f t="shared" si="155"/>
        <v>0,231148378119284-6,20807069023459i</v>
      </c>
      <c r="AD272" s="190">
        <f t="shared" si="156"/>
        <v>15.865149680006352</v>
      </c>
      <c r="AE272" s="169">
        <f t="shared" si="157"/>
        <v>-87.867660965200926</v>
      </c>
      <c r="AF272" s="98" t="str">
        <f t="shared" si="143"/>
        <v>-0,0000375877424711299</v>
      </c>
      <c r="AG272" s="98" t="str">
        <f t="shared" si="144"/>
        <v>0,0000220693383871595i</v>
      </c>
      <c r="AH272" s="98">
        <f t="shared" si="158"/>
        <v>2.2069338387159502E-5</v>
      </c>
      <c r="AI272" s="98">
        <f t="shared" si="159"/>
        <v>1.5707963267948966</v>
      </c>
      <c r="AJ272" s="98" t="str">
        <f t="shared" si="145"/>
        <v>1+0,0201301157317959i</v>
      </c>
      <c r="AK272" s="98">
        <f t="shared" si="160"/>
        <v>1.0002025902582814</v>
      </c>
      <c r="AL272" s="98">
        <f t="shared" si="161"/>
        <v>2.0127397340400029E-2</v>
      </c>
      <c r="AM272" s="98" t="str">
        <f t="shared" si="146"/>
        <v>1+1,56860055663918i</v>
      </c>
      <c r="AN272" s="98">
        <f t="shared" si="162"/>
        <v>1.8602439910637383</v>
      </c>
      <c r="AO272" s="98">
        <f t="shared" si="163"/>
        <v>1.0032509303143042</v>
      </c>
      <c r="AP272" s="168" t="str">
        <f t="shared" si="164"/>
        <v>-2,63623364567672+1,75623349298234i</v>
      </c>
      <c r="AQ272" s="98">
        <f t="shared" si="165"/>
        <v>10.014777287734415</v>
      </c>
      <c r="AR272" s="169">
        <f t="shared" si="166"/>
        <v>146.32882917939529</v>
      </c>
      <c r="AS272" s="168" t="str">
        <f t="shared" si="167"/>
        <v>10,2934605414503+16,7718753518376i</v>
      </c>
      <c r="AT272" s="190">
        <f t="shared" si="168"/>
        <v>25.879926967740779</v>
      </c>
      <c r="AU272" s="169">
        <f t="shared" si="169"/>
        <v>58.46116821419448</v>
      </c>
      <c r="AV272" s="225"/>
      <c r="AX272">
        <f t="shared" si="170"/>
        <v>0</v>
      </c>
      <c r="AY272">
        <f t="shared" si="171"/>
        <v>0</v>
      </c>
    </row>
    <row r="273" spans="14:51" x14ac:dyDescent="0.25">
      <c r="N273" s="170">
        <v>55</v>
      </c>
      <c r="O273" s="199">
        <f t="shared" si="172"/>
        <v>3548.1338923357539</v>
      </c>
      <c r="P273" s="189" t="str">
        <f t="shared" si="138"/>
        <v>120,833333333333</v>
      </c>
      <c r="Q273" s="160" t="str">
        <f t="shared" si="139"/>
        <v>1+19,8784446100384i</v>
      </c>
      <c r="R273" s="160">
        <f t="shared" si="147"/>
        <v>19.903581590114999</v>
      </c>
      <c r="S273" s="160">
        <f t="shared" si="148"/>
        <v>1.5205329514607175</v>
      </c>
      <c r="T273" s="160" t="str">
        <f t="shared" si="140"/>
        <v>1+0,00133761496441379i</v>
      </c>
      <c r="U273" s="160">
        <f t="shared" si="149"/>
        <v>1.0000008946064964</v>
      </c>
      <c r="V273" s="160">
        <f t="shared" si="150"/>
        <v>1.3376141666549316E-3</v>
      </c>
      <c r="W273" s="98" t="str">
        <f t="shared" si="141"/>
        <v>1-0,0114499840953821i</v>
      </c>
      <c r="X273" s="160">
        <f t="shared" si="151"/>
        <v>1.0000655489195618</v>
      </c>
      <c r="Y273" s="160">
        <f t="shared" si="152"/>
        <v>-1.1449483762281819E-2</v>
      </c>
      <c r="Z273" s="98" t="str">
        <f t="shared" si="142"/>
        <v>0,999989595657754+0,00443500238866555i</v>
      </c>
      <c r="AA273" s="160">
        <f t="shared" si="153"/>
        <v>0.99999943033481076</v>
      </c>
      <c r="AB273" s="160">
        <f t="shared" si="154"/>
        <v>4.4350194541459701E-3</v>
      </c>
      <c r="AC273" s="171" t="str">
        <f t="shared" si="155"/>
        <v>0,216800866066488-6,06746889661188i</v>
      </c>
      <c r="AD273" s="190">
        <f t="shared" si="156"/>
        <v>15.665692505507749</v>
      </c>
      <c r="AE273" s="169">
        <f t="shared" si="157"/>
        <v>-87.953596076866631</v>
      </c>
      <c r="AF273" s="98" t="str">
        <f t="shared" si="143"/>
        <v>-0,0000375877424711299</v>
      </c>
      <c r="AG273" s="98" t="str">
        <f t="shared" si="144"/>
        <v>0,0000225833993158529i</v>
      </c>
      <c r="AH273" s="98">
        <f t="shared" si="158"/>
        <v>2.2583399315852899E-5</v>
      </c>
      <c r="AI273" s="98">
        <f t="shared" si="159"/>
        <v>1.5707963267948966</v>
      </c>
      <c r="AJ273" s="98" t="str">
        <f t="shared" si="145"/>
        <v>1+0,0205990063621472i</v>
      </c>
      <c r="AK273" s="98">
        <f t="shared" si="160"/>
        <v>1.0002121370304939</v>
      </c>
      <c r="AL273" s="98">
        <f t="shared" si="161"/>
        <v>2.0596093586652101E-2</v>
      </c>
      <c r="AM273" s="98" t="str">
        <f t="shared" si="146"/>
        <v>1+1,60513795729655i</v>
      </c>
      <c r="AN273" s="98">
        <f t="shared" si="162"/>
        <v>1.8911551660173582</v>
      </c>
      <c r="AO273" s="98">
        <f t="shared" si="163"/>
        <v>1.0136369318295713</v>
      </c>
      <c r="AP273" s="168" t="str">
        <f t="shared" si="164"/>
        <v>-2,6361833215483+1,71869977472547i</v>
      </c>
      <c r="AQ273" s="98">
        <f t="shared" si="165"/>
        <v>9.957839443920399</v>
      </c>
      <c r="AR273" s="169">
        <f t="shared" si="166"/>
        <v>146.89704891545276</v>
      </c>
      <c r="AS273" s="168" t="str">
        <f t="shared" si="167"/>
        <v>9,85663059853893+16,3675759089301i</v>
      </c>
      <c r="AT273" s="190">
        <f t="shared" si="168"/>
        <v>25.623531949428163</v>
      </c>
      <c r="AU273" s="169">
        <f t="shared" si="169"/>
        <v>58.943452838586175</v>
      </c>
      <c r="AV273" s="225"/>
      <c r="AX273">
        <f t="shared" si="170"/>
        <v>0</v>
      </c>
      <c r="AY273">
        <f t="shared" si="171"/>
        <v>0</v>
      </c>
    </row>
    <row r="274" spans="14:51" x14ac:dyDescent="0.25">
      <c r="N274" s="170">
        <v>56</v>
      </c>
      <c r="O274" s="199">
        <f t="shared" si="172"/>
        <v>3630.7805477010188</v>
      </c>
      <c r="P274" s="189" t="str">
        <f t="shared" si="138"/>
        <v>120,833333333333</v>
      </c>
      <c r="Q274" s="160" t="str">
        <f t="shared" si="139"/>
        <v>1+20,3414730668935i</v>
      </c>
      <c r="R274" s="160">
        <f t="shared" si="147"/>
        <v>20.366038557636919</v>
      </c>
      <c r="S274" s="160">
        <f t="shared" si="148"/>
        <v>1.5216752246465362</v>
      </c>
      <c r="T274" s="160" t="str">
        <f t="shared" si="140"/>
        <v>1+0,00136877201945451i</v>
      </c>
      <c r="U274" s="160">
        <f t="shared" si="149"/>
        <v>1.0000009367679819</v>
      </c>
      <c r="V274" s="160">
        <f t="shared" si="150"/>
        <v>1.3687711646405355E-3</v>
      </c>
      <c r="W274" s="98" t="str">
        <f t="shared" si="141"/>
        <v>1-0,0117166884865306i</v>
      </c>
      <c r="X274" s="160">
        <f t="shared" si="151"/>
        <v>1.000068638038955</v>
      </c>
      <c r="Y274" s="160">
        <f t="shared" si="152"/>
        <v>-1.1716152371941862E-2</v>
      </c>
      <c r="Z274" s="98" t="str">
        <f t="shared" si="142"/>
        <v>0,99998910531621+0,00453830686506988i</v>
      </c>
      <c r="AA274" s="160">
        <f t="shared" si="153"/>
        <v>0.99999940348997984</v>
      </c>
      <c r="AB274" s="160">
        <f t="shared" si="154"/>
        <v>4.5383251510573456E-3</v>
      </c>
      <c r="AC274" s="171" t="str">
        <f t="shared" si="155"/>
        <v>0,203095911871063-5,93001932542193i</v>
      </c>
      <c r="AD274" s="190">
        <f t="shared" si="156"/>
        <v>15.466213370548543</v>
      </c>
      <c r="AE274" s="169">
        <f t="shared" si="157"/>
        <v>-88.038456311272952</v>
      </c>
      <c r="AF274" s="98" t="str">
        <f t="shared" si="143"/>
        <v>-0,0000375877424711299</v>
      </c>
      <c r="AG274" s="98" t="str">
        <f t="shared" si="144"/>
        <v>0,0000231094342617903i</v>
      </c>
      <c r="AH274" s="98">
        <f t="shared" si="158"/>
        <v>2.31094342617903E-5</v>
      </c>
      <c r="AI274" s="98">
        <f t="shared" si="159"/>
        <v>1.5707963267948966</v>
      </c>
      <c r="AJ274" s="98" t="str">
        <f t="shared" si="145"/>
        <v>1+0,021078818858332i</v>
      </c>
      <c r="AK274" s="98">
        <f t="shared" si="160"/>
        <v>1.0002221336305563</v>
      </c>
      <c r="AL274" s="98">
        <f t="shared" si="161"/>
        <v>2.1075697800592021E-2</v>
      </c>
      <c r="AM274" s="98" t="str">
        <f t="shared" si="146"/>
        <v>1+1,64252642334541i</v>
      </c>
      <c r="AN274" s="98">
        <f t="shared" si="162"/>
        <v>1.922990652964248</v>
      </c>
      <c r="AO274" s="98">
        <f t="shared" si="163"/>
        <v>1.0239180644618329</v>
      </c>
      <c r="AP274" s="168" t="str">
        <f t="shared" si="164"/>
        <v>-2,63613062777603+1,68207723614689i</v>
      </c>
      <c r="AQ274" s="98">
        <f t="shared" si="165"/>
        <v>9.9027528305841734</v>
      </c>
      <c r="AR274" s="169">
        <f t="shared" si="166"/>
        <v>147.45863512660006</v>
      </c>
      <c r="AS274" s="168" t="str">
        <f t="shared" si="167"/>
        <v>9,43936316354395+15,9739285771613i</v>
      </c>
      <c r="AT274" s="190">
        <f t="shared" si="168"/>
        <v>25.368966201132711</v>
      </c>
      <c r="AU274" s="169">
        <f t="shared" si="169"/>
        <v>59.420178815327098</v>
      </c>
      <c r="AV274" s="225"/>
      <c r="AX274">
        <f t="shared" si="170"/>
        <v>0</v>
      </c>
      <c r="AY274">
        <f t="shared" si="171"/>
        <v>0</v>
      </c>
    </row>
    <row r="275" spans="14:51" x14ac:dyDescent="0.25">
      <c r="N275" s="170">
        <v>57</v>
      </c>
      <c r="O275" s="199">
        <f t="shared" si="172"/>
        <v>3715.352290971724</v>
      </c>
      <c r="P275" s="189" t="str">
        <f t="shared" ref="P275:P338" si="173">COMPLEX(Adc,0)</f>
        <v>120,833333333333</v>
      </c>
      <c r="Q275" s="160" t="str">
        <f t="shared" ref="Q275:Q338" si="174">IMSUM(COMPLEX(1,0),IMDIV(COMPLEX(0,2*PI()*O275),COMPLEX(wp_lf,0)))</f>
        <v>1+20,8152868420198i</v>
      </c>
      <c r="R275" s="160">
        <f t="shared" si="147"/>
        <v>20.83929380558666</v>
      </c>
      <c r="S275" s="160">
        <f t="shared" si="148"/>
        <v>1.5227916204971692</v>
      </c>
      <c r="T275" s="160" t="str">
        <f t="shared" ref="T275:T338" si="175">IMSUM(COMPLEX(1,0),IMDIV(COMPLEX(0,2*PI()*O275),COMPLEX(wz_esr,0)))</f>
        <v>1+0,00140065481553777i</v>
      </c>
      <c r="U275" s="160">
        <f t="shared" si="149"/>
        <v>1.0000009809164749</v>
      </c>
      <c r="V275" s="160">
        <f t="shared" si="150"/>
        <v>1.4006538995881427E-3</v>
      </c>
      <c r="W275" s="98" t="str">
        <f t="shared" ref="W275:W338" si="176">IMSUB(COMPLEX(1,0),IMDIV(COMPLEX(0,2*PI()*O275),COMPLEX(wz_rhp,0)))</f>
        <v>1-0,0119896052210033i</v>
      </c>
      <c r="X275" s="160">
        <f t="shared" si="151"/>
        <v>1.0000718727338329</v>
      </c>
      <c r="Y275" s="160">
        <f t="shared" si="152"/>
        <v>-1.1989030766101371E-2</v>
      </c>
      <c r="Z275" s="98" t="str">
        <f t="shared" ref="Z275:Z338" si="177">IF(Dc_Mode_Loop="CCM",IMSUM(COMPLEX(1,0),IMDIV(COMPLEX(0,2*PI()*O275),COMPLEX(Q*(wsl/2),0)),IMDIV(IMPOWER(COMPLEX(0,2*PI()*O275),2),IMPOWER(COMPLEX(wsl/2,0),2))),COMPLEX(1,0))</f>
        <v>0,999988591865582+0,00464401761184564i</v>
      </c>
      <c r="AA275" s="160">
        <f t="shared" si="153"/>
        <v>0.99999937538024919</v>
      </c>
      <c r="AB275" s="160">
        <f t="shared" si="154"/>
        <v>4.6440372056294433E-3</v>
      </c>
      <c r="AC275" s="171" t="str">
        <f t="shared" si="155"/>
        <v>0,190004875126923-5,79565340555749i</v>
      </c>
      <c r="AD275" s="190">
        <f t="shared" si="156"/>
        <v>15.266713372189564</v>
      </c>
      <c r="AE275" s="169">
        <f t="shared" si="157"/>
        <v>-88.122285970504592</v>
      </c>
      <c r="AF275" s="98" t="str">
        <f t="shared" ref="AF275:AF338" si="178">COMPLEX(Adc_ea,0)</f>
        <v>-0,0000375877424711299</v>
      </c>
      <c r="AG275" s="98" t="str">
        <f t="shared" ref="AG275:AG338" si="179">COMPLEX(0,2*PI()*O275*wp0_ea)</f>
        <v>0,0000236477221356627i</v>
      </c>
      <c r="AH275" s="98">
        <f t="shared" si="158"/>
        <v>2.3647722135662698E-5</v>
      </c>
      <c r="AI275" s="98">
        <f t="shared" si="159"/>
        <v>1.5707963267948966</v>
      </c>
      <c r="AJ275" s="98" t="str">
        <f t="shared" ref="AJ275:AJ338" si="180">IMSUM(COMPLEX(1,0),IMDIV(COMPLEX(0,2*PI()*O275),COMPLEX(wp1_ea,0)))</f>
        <v>1+0,0215698076232865i</v>
      </c>
      <c r="AK275" s="98">
        <f t="shared" si="160"/>
        <v>1.0002326012487823</v>
      </c>
      <c r="AL275" s="98">
        <f t="shared" si="161"/>
        <v>2.1566463391666707E-2</v>
      </c>
      <c r="AM275" s="98" t="str">
        <f t="shared" ref="AM275:AM338" si="181">IMSUM(COMPLEX(1,0),IMDIV(COMPLEX(0,2*PI()*O275),COMPLEX(wz_ea,0)))</f>
        <v>1+1,68078577864533i</v>
      </c>
      <c r="AN275" s="98">
        <f t="shared" si="162"/>
        <v>1.9557711608714319</v>
      </c>
      <c r="AO275" s="98">
        <f t="shared" si="163"/>
        <v>1.0340910851407175</v>
      </c>
      <c r="AP275" s="168" t="str">
        <f t="shared" si="164"/>
        <v>-2,63607545288056+1,64634645251131i</v>
      </c>
      <c r="AQ275" s="98">
        <f t="shared" si="165"/>
        <v>9.8494792227567434</v>
      </c>
      <c r="AR275" s="169">
        <f t="shared" si="166"/>
        <v>148.01338747930075</v>
      </c>
      <c r="AS275" s="168" t="str">
        <f t="shared" si="167"/>
        <v>9,04078623697495+15,5905935279188i</v>
      </c>
      <c r="AT275" s="190">
        <f t="shared" si="168"/>
        <v>25.116192594946316</v>
      </c>
      <c r="AU275" s="169">
        <f t="shared" si="169"/>
        <v>59.89110150879619</v>
      </c>
      <c r="AV275" s="225"/>
      <c r="AX275">
        <f t="shared" si="170"/>
        <v>0</v>
      </c>
      <c r="AY275">
        <f t="shared" si="171"/>
        <v>0</v>
      </c>
    </row>
    <row r="276" spans="14:51" x14ac:dyDescent="0.25">
      <c r="N276" s="170">
        <v>58</v>
      </c>
      <c r="O276" s="199">
        <f t="shared" si="172"/>
        <v>3801.8939632056172</v>
      </c>
      <c r="P276" s="189" t="str">
        <f t="shared" si="173"/>
        <v>120,833333333333</v>
      </c>
      <c r="Q276" s="160" t="str">
        <f t="shared" si="174"/>
        <v>1+21,3001371577526i</v>
      </c>
      <c r="R276" s="160">
        <f t="shared" ref="R276:R339" si="182">IMABS(Q276)</f>
        <v>21.323598264342561</v>
      </c>
      <c r="S276" s="160">
        <f t="shared" ref="S276:S339" si="183">IMARGUMENT(Q276)</f>
        <v>1.5238827198028806</v>
      </c>
      <c r="T276" s="160" t="str">
        <f t="shared" si="175"/>
        <v>1+0,0014332802573441i</v>
      </c>
      <c r="U276" s="160">
        <f t="shared" ref="U276:U339" si="184">IMABS(T276)</f>
        <v>1.0000010271456206</v>
      </c>
      <c r="V276" s="160">
        <f t="shared" ref="V276:V339" si="185">IMARGUMENT(T276)</f>
        <v>1.433279275886446E-3</v>
      </c>
      <c r="W276" s="98" t="str">
        <f t="shared" si="176"/>
        <v>1-0,0122688790028655i</v>
      </c>
      <c r="X276" s="160">
        <f t="shared" ref="X276:X339" si="186">IMABS(W276)</f>
        <v>1.0000752598639699</v>
      </c>
      <c r="Y276" s="160">
        <f t="shared" ref="Y276:Y339" si="187">IMARGUMENT(W276)</f>
        <v>-1.2268263465849865E-2</v>
      </c>
      <c r="Z276" s="98" t="str">
        <f t="shared" si="177"/>
        <v>0,999988054216771+0,00475219067823005i</v>
      </c>
      <c r="AA276" s="160">
        <f t="shared" ref="AA276:AA339" si="188">IMABS(Z276)</f>
        <v>0.99999934594602913</v>
      </c>
      <c r="AB276" s="160">
        <f t="shared" ref="AB276:AB339" si="189">IMARGUMENT(Z276)</f>
        <v>4.7522116733422952E-3</v>
      </c>
      <c r="AC276" s="171" t="str">
        <f t="shared" ref="AC276:AC339" si="190">(IMDIV(IMPRODUCT(P276,T276,W276),IMPRODUCT(Q276,Z276)))</f>
        <v>0,177500379999895-5,66430391570149i</v>
      </c>
      <c r="AD276" s="190">
        <f t="shared" ref="AD276:AD339" si="191">20*LOG(IMABS(AC276))</f>
        <v>15.067193563913932</v>
      </c>
      <c r="AE276" s="169">
        <f t="shared" ref="AE276:AE339" si="192">(180/PI())*IMARGUMENT(AC276)</f>
        <v>-88.205128855033237</v>
      </c>
      <c r="AF276" s="98" t="str">
        <f t="shared" si="178"/>
        <v>-0,0000375877424711299</v>
      </c>
      <c r="AG276" s="98" t="str">
        <f t="shared" si="179"/>
        <v>0,0000241985483448262i</v>
      </c>
      <c r="AH276" s="98">
        <f t="shared" ref="AH276:AH339" si="193">IMABS(AG276)</f>
        <v>2.4198548344826202E-5</v>
      </c>
      <c r="AI276" s="98">
        <f t="shared" ref="AI276:AI339" si="194">IMARGUMENT(AG276)</f>
        <v>1.5707963267948966</v>
      </c>
      <c r="AJ276" s="98" t="str">
        <f t="shared" si="180"/>
        <v>1+0,0220722329857531i</v>
      </c>
      <c r="AK276" s="98">
        <f t="shared" ref="AK276:AK339" si="195">IMABS(AJ276)</f>
        <v>1.0002435620732471</v>
      </c>
      <c r="AL276" s="98">
        <f t="shared" ref="AL276:AL339" si="196">IMARGUMENT(AJ276)</f>
        <v>2.2068649624136162E-2</v>
      </c>
      <c r="AM276" s="98" t="str">
        <f t="shared" si="181"/>
        <v>1+1,71993630881292i</v>
      </c>
      <c r="AN276" s="98">
        <f t="shared" ref="AN276:AN339" si="197">IMABS(AM276)</f>
        <v>1.989517757239933</v>
      </c>
      <c r="AO276" s="98">
        <f t="shared" ref="AO276:AO339" si="198">IMARGUMENT(AM276)</f>
        <v>1.0441529647816747</v>
      </c>
      <c r="AP276" s="168" t="str">
        <f t="shared" ref="AP276:AP339" si="199">IMPRODUCT(AF276,IMDIV(AM276,IMPRODUCT(AG276,AJ276)))</f>
        <v>-2,63601768014779+1,61148847140523i</v>
      </c>
      <c r="AQ276" s="98">
        <f t="shared" ref="AQ276:AQ339" si="200">20*LOG(IMABS(AP276))</f>
        <v>9.7979796782786437</v>
      </c>
      <c r="AR276" s="169">
        <f t="shared" ref="AR276:AR339" si="201">(180/PI())*IMARGUMENT(AP276)</f>
        <v>148.56111756504606</v>
      </c>
      <c r="AS276" s="168" t="str">
        <f t="shared" ref="AS276:AS339" si="202">IMPRODUCT(AC276,AP276)</f>
        <v>8,66006631877578+15,2172450835594i</v>
      </c>
      <c r="AT276" s="190">
        <f t="shared" ref="AT276:AT339" si="203">20*LOG(IMABS(AS276))</f>
        <v>24.865173242192597</v>
      </c>
      <c r="AU276" s="169">
        <f t="shared" ref="AU276:AU339" si="204">(180/PI())*IMARGUMENT(AS276)</f>
        <v>60.355988710012866</v>
      </c>
      <c r="AV276" s="225"/>
      <c r="AX276">
        <f t="shared" ref="AX276:AX339" si="205">SUM((AT277&lt;0)*(AT276&gt;0))*O276</f>
        <v>0</v>
      </c>
      <c r="AY276">
        <f t="shared" ref="AY276:AY339" si="206">IF(AX276&gt;0,AU276,0)</f>
        <v>0</v>
      </c>
    </row>
    <row r="277" spans="14:51" x14ac:dyDescent="0.25">
      <c r="N277" s="170">
        <v>59</v>
      </c>
      <c r="O277" s="199">
        <f t="shared" si="172"/>
        <v>3890.451449942811</v>
      </c>
      <c r="P277" s="189" t="str">
        <f t="shared" si="173"/>
        <v>120,833333333333</v>
      </c>
      <c r="Q277" s="160" t="str">
        <f t="shared" si="174"/>
        <v>1+21,7962810881472i</v>
      </c>
      <c r="R277" s="160">
        <f t="shared" si="182"/>
        <v>21.819208722442784</v>
      </c>
      <c r="S277" s="160">
        <f t="shared" si="183"/>
        <v>1.5249490906814474</v>
      </c>
      <c r="T277" s="160" t="str">
        <f t="shared" si="175"/>
        <v>1+0,00146666564331457i</v>
      </c>
      <c r="U277" s="160">
        <f t="shared" si="184"/>
        <v>1.0000010755534763</v>
      </c>
      <c r="V277" s="160">
        <f t="shared" si="185"/>
        <v>1.4666645916638077E-3</v>
      </c>
      <c r="W277" s="98" t="str">
        <f t="shared" si="176"/>
        <v>1-0,0125546579067727i</v>
      </c>
      <c r="X277" s="160">
        <f t="shared" si="186"/>
        <v>1.0000788066123369</v>
      </c>
      <c r="Y277" s="160">
        <f t="shared" si="187"/>
        <v>-1.2553998349784363E-2</v>
      </c>
      <c r="Z277" s="98" t="str">
        <f t="shared" si="177"/>
        <v>0,999987491229352+0,00486288341901473i</v>
      </c>
      <c r="AA277" s="160">
        <f t="shared" si="188"/>
        <v>0.99999931512492568</v>
      </c>
      <c r="AB277" s="160">
        <f t="shared" si="189"/>
        <v>4.862905915676799E-3</v>
      </c>
      <c r="AC277" s="171" t="str">
        <f t="shared" si="190"/>
        <v>0,165556260448495-5,53590496747985i</v>
      </c>
      <c r="AD277" s="190">
        <f t="shared" si="191"/>
        <v>14.867654957802552</v>
      </c>
      <c r="AE277" s="169">
        <f t="shared" si="192"/>
        <v>-88.287028283890308</v>
      </c>
      <c r="AF277" s="98" t="str">
        <f t="shared" si="178"/>
        <v>-0,0000375877424711299</v>
      </c>
      <c r="AG277" s="98" t="str">
        <f t="shared" si="179"/>
        <v>0,0000247622049446277i</v>
      </c>
      <c r="AH277" s="98">
        <f t="shared" si="193"/>
        <v>2.47622049446277E-5</v>
      </c>
      <c r="AI277" s="98">
        <f t="shared" si="194"/>
        <v>1.5707963267948966</v>
      </c>
      <c r="AJ277" s="98" t="str">
        <f t="shared" si="180"/>
        <v>1+0,0225863613383092i</v>
      </c>
      <c r="AK277" s="98">
        <f t="shared" si="195"/>
        <v>1.0002550393367207</v>
      </c>
      <c r="AL277" s="98">
        <f t="shared" si="196"/>
        <v>2.2582521750032263E-2</v>
      </c>
      <c r="AM277" s="98" t="str">
        <f t="shared" si="181"/>
        <v>1+1,75999877197749i</v>
      </c>
      <c r="AN277" s="98">
        <f t="shared" si="197"/>
        <v>2.024251880908666</v>
      </c>
      <c r="AO277" s="98">
        <f t="shared" si="198"/>
        <v>1.0541008883393459</v>
      </c>
      <c r="AP277" s="168" t="str">
        <f t="shared" si="199"/>
        <v>-2,6359571873841+1,57748480265257i</v>
      </c>
      <c r="AQ277" s="98">
        <f t="shared" si="200"/>
        <v>9.7482146476404168</v>
      </c>
      <c r="AR277" s="169">
        <f t="shared" si="201"/>
        <v>149.10164889579616</v>
      </c>
      <c r="AS277" s="168" t="str">
        <f t="shared" si="202"/>
        <v>8,29640674048269+14,8535709725453i</v>
      </c>
      <c r="AT277" s="190">
        <f t="shared" si="203"/>
        <v>24.615869605442949</v>
      </c>
      <c r="AU277" s="169">
        <f t="shared" si="204"/>
        <v>60.814620611905816</v>
      </c>
      <c r="AV277" s="225"/>
      <c r="AX277">
        <f t="shared" si="205"/>
        <v>0</v>
      </c>
      <c r="AY277">
        <f t="shared" si="206"/>
        <v>0</v>
      </c>
    </row>
    <row r="278" spans="14:51" x14ac:dyDescent="0.25">
      <c r="N278" s="170">
        <v>60</v>
      </c>
      <c r="O278" s="199">
        <f t="shared" si="172"/>
        <v>3981.0717055349769</v>
      </c>
      <c r="P278" s="189" t="str">
        <f t="shared" si="173"/>
        <v>120,833333333333</v>
      </c>
      <c r="Q278" s="160" t="str">
        <f t="shared" si="174"/>
        <v>1+22,3039816952825i</v>
      </c>
      <c r="R278" s="160">
        <f t="shared" si="182"/>
        <v>22.326387962756016</v>
      </c>
      <c r="S278" s="160">
        <f t="shared" si="183"/>
        <v>1.5259912888303435</v>
      </c>
      <c r="T278" s="160" t="str">
        <f t="shared" si="175"/>
        <v>1+0,00150082867482274i</v>
      </c>
      <c r="U278" s="160">
        <f t="shared" si="184"/>
        <v>1.0000011262427213</v>
      </c>
      <c r="V278" s="160">
        <f t="shared" si="185"/>
        <v>1.5008275479587144E-3</v>
      </c>
      <c r="W278" s="98" t="str">
        <f t="shared" si="176"/>
        <v>1-0,0128470934564827i</v>
      </c>
      <c r="X278" s="160">
        <f t="shared" si="186"/>
        <v>1.0000825205003234</v>
      </c>
      <c r="Y278" s="160">
        <f t="shared" si="187"/>
        <v>-1.2846386731586267E-2</v>
      </c>
      <c r="Z278" s="98" t="str">
        <f t="shared" si="177"/>
        <v>0,999986901709153+0,00497615452495604i</v>
      </c>
      <c r="AA278" s="160">
        <f t="shared" si="188"/>
        <v>0.99999928285160666</v>
      </c>
      <c r="AB278" s="160">
        <f t="shared" si="189"/>
        <v>4.9761786305570011E-3</v>
      </c>
      <c r="AC278" s="171" t="str">
        <f t="shared" si="190"/>
        <v>0,154147507724317-5,41039198809218i</v>
      </c>
      <c r="AD278" s="190">
        <f t="shared" si="191"/>
        <v>14.668098526626121</v>
      </c>
      <c r="AE278" s="169">
        <f t="shared" si="192"/>
        <v>-88.368027114779537</v>
      </c>
      <c r="AF278" s="98" t="str">
        <f t="shared" si="178"/>
        <v>-0,0000375877424711299</v>
      </c>
      <c r="AG278" s="98" t="str">
        <f t="shared" si="179"/>
        <v>0,0000253389907932573i</v>
      </c>
      <c r="AH278" s="98">
        <f t="shared" si="193"/>
        <v>2.5338990793257301E-5</v>
      </c>
      <c r="AI278" s="98">
        <f t="shared" si="194"/>
        <v>1.5707963267948966</v>
      </c>
      <c r="AJ278" s="98" t="str">
        <f t="shared" si="180"/>
        <v>1+0,0231124652786127i</v>
      </c>
      <c r="AK278" s="98">
        <f t="shared" si="195"/>
        <v>1.0002670573658092</v>
      </c>
      <c r="AL278" s="98">
        <f t="shared" si="196"/>
        <v>2.3108351144972585E-2</v>
      </c>
      <c r="AM278" s="98" t="str">
        <f t="shared" si="181"/>
        <v>1+1,80099440978729i</v>
      </c>
      <c r="AN278" s="98">
        <f t="shared" si="197"/>
        <v>2.0599953553552175</v>
      </c>
      <c r="AO278" s="98">
        <f t="shared" si="198"/>
        <v>1.0639322540419613</v>
      </c>
      <c r="AP278" s="168" t="str">
        <f t="shared" si="199"/>
        <v>-2,63589384666001+1,54431740847286i</v>
      </c>
      <c r="AQ278" s="98">
        <f t="shared" si="200"/>
        <v>9.7001440812672879</v>
      </c>
      <c r="AR278" s="169">
        <f t="shared" si="201"/>
        <v>149.6348168523316</v>
      </c>
      <c r="AS278" s="168" t="str">
        <f t="shared" si="202"/>
        <v>7,94904606678434+14,4992716290822i</v>
      </c>
      <c r="AT278" s="190">
        <f t="shared" si="203"/>
        <v>24.368242607893428</v>
      </c>
      <c r="AU278" s="169">
        <f t="shared" si="204"/>
        <v>61.266789737552116</v>
      </c>
      <c r="AV278" s="225"/>
      <c r="AX278">
        <f t="shared" si="205"/>
        <v>0</v>
      </c>
      <c r="AY278">
        <f t="shared" si="206"/>
        <v>0</v>
      </c>
    </row>
    <row r="279" spans="14:51" x14ac:dyDescent="0.25">
      <c r="N279" s="170">
        <v>61</v>
      </c>
      <c r="O279" s="199">
        <f t="shared" si="172"/>
        <v>4073.8027780411317</v>
      </c>
      <c r="P279" s="189" t="str">
        <f t="shared" si="173"/>
        <v>120,833333333333</v>
      </c>
      <c r="Q279" s="160" t="str">
        <f t="shared" si="174"/>
        <v>1+22,8235081687408i</v>
      </c>
      <c r="R279" s="160">
        <f t="shared" si="182"/>
        <v>22.845404901830438</v>
      </c>
      <c r="S279" s="160">
        <f t="shared" si="183"/>
        <v>1.5270098577755764</v>
      </c>
      <c r="T279" s="160" t="str">
        <f t="shared" si="175"/>
        <v>1+0,00153578746556012i</v>
      </c>
      <c r="U279" s="160">
        <f t="shared" si="184"/>
        <v>1.0000011793208743</v>
      </c>
      <c r="V279" s="160">
        <f t="shared" si="185"/>
        <v>1.5357862581036391E-3</v>
      </c>
      <c r="W279" s="98" t="str">
        <f t="shared" si="176"/>
        <v>1-0,0131463407051946i</v>
      </c>
      <c r="X279" s="160">
        <f t="shared" si="186"/>
        <v>1.0000864094036761</v>
      </c>
      <c r="Y279" s="160">
        <f t="shared" si="187"/>
        <v>-1.3145583439358314E-2</v>
      </c>
      <c r="Z279" s="98" t="str">
        <f t="shared" si="177"/>
        <v>0,999986284405724+0,00509206405389368i</v>
      </c>
      <c r="AA279" s="160">
        <f t="shared" si="188"/>
        <v>0.99999924905766524</v>
      </c>
      <c r="AB279" s="160">
        <f t="shared" si="189"/>
        <v>5.092089883502896E-3</v>
      </c>
      <c r="AC279" s="171" t="str">
        <f t="shared" si="190"/>
        <v>0,143250220065564-5,28770170249106i</v>
      </c>
      <c r="AD279" s="190">
        <f t="shared" si="191"/>
        <v>14.468525205858761</v>
      </c>
      <c r="AE279" s="169">
        <f t="shared" si="192"/>
        <v>-88.448167764127376</v>
      </c>
      <c r="AF279" s="98" t="str">
        <f t="shared" si="178"/>
        <v>-0,0000375877424711299</v>
      </c>
      <c r="AG279" s="98" t="str">
        <f t="shared" si="179"/>
        <v>0,0000259292117102068i</v>
      </c>
      <c r="AH279" s="98">
        <f t="shared" si="193"/>
        <v>2.5929211710206802E-5</v>
      </c>
      <c r="AI279" s="98">
        <f t="shared" si="194"/>
        <v>1.5707963267948966</v>
      </c>
      <c r="AJ279" s="98" t="str">
        <f t="shared" si="180"/>
        <v>1+0,0236508237539367i</v>
      </c>
      <c r="AK279" s="98">
        <f t="shared" si="195"/>
        <v>1.0002796416323987</v>
      </c>
      <c r="AL279" s="98">
        <f t="shared" si="196"/>
        <v>2.3646415446875908E-2</v>
      </c>
      <c r="AM279" s="98" t="str">
        <f t="shared" si="181"/>
        <v>1+1,84294495867215i</v>
      </c>
      <c r="AN279" s="98">
        <f t="shared" si="197"/>
        <v>2.0967704024749807</v>
      </c>
      <c r="AO279" s="98">
        <f t="shared" si="198"/>
        <v>1.0736446718533348</v>
      </c>
      <c r="AP279" s="168" t="str">
        <f t="shared" si="199"/>
        <v>-2,63582752404215+1,5119686938765i</v>
      </c>
      <c r="AQ279" s="98">
        <f t="shared" si="200"/>
        <v>9.6537275337756725</v>
      </c>
      <c r="AR279" s="169">
        <f t="shared" si="201"/>
        <v>150.16046858818527</v>
      </c>
      <c r="AS279" s="168" t="str">
        <f t="shared" si="202"/>
        <v>7,61725656385005+14,1540595344805i</v>
      </c>
      <c r="AT279" s="190">
        <f t="shared" si="203"/>
        <v>24.122252739634419</v>
      </c>
      <c r="AU279" s="169">
        <f t="shared" si="204"/>
        <v>61.712300824057856</v>
      </c>
      <c r="AV279" s="225"/>
      <c r="AX279">
        <f t="shared" si="205"/>
        <v>0</v>
      </c>
      <c r="AY279">
        <f t="shared" si="206"/>
        <v>0</v>
      </c>
    </row>
    <row r="280" spans="14:51" x14ac:dyDescent="0.25">
      <c r="N280" s="170">
        <v>62</v>
      </c>
      <c r="O280" s="199">
        <f t="shared" si="172"/>
        <v>4168.6938347033583</v>
      </c>
      <c r="P280" s="189" t="str">
        <f t="shared" si="173"/>
        <v>120,833333333333</v>
      </c>
      <c r="Q280" s="160" t="str">
        <f t="shared" si="174"/>
        <v>1+23,3551359683351i</v>
      </c>
      <c r="R280" s="160">
        <f t="shared" si="182"/>
        <v>23.376534732492324</v>
      </c>
      <c r="S280" s="160">
        <f t="shared" si="183"/>
        <v>1.528005329117089</v>
      </c>
      <c r="T280" s="160" t="str">
        <f t="shared" si="175"/>
        <v>1+0,00157156055114029i</v>
      </c>
      <c r="U280" s="160">
        <f t="shared" si="184"/>
        <v>1.0000012349005205</v>
      </c>
      <c r="V280" s="160">
        <f t="shared" si="185"/>
        <v>1.5715592573274466E-3</v>
      </c>
      <c r="W280" s="98" t="str">
        <f t="shared" si="176"/>
        <v>1-0,0134525583177609i</v>
      </c>
      <c r="X280" s="160">
        <f t="shared" si="186"/>
        <v>1.0000904815691891</v>
      </c>
      <c r="Y280" s="160">
        <f t="shared" si="187"/>
        <v>-1.3451746896762991E-2</v>
      </c>
      <c r="Z280" s="98" t="str">
        <f t="shared" si="177"/>
        <v>0,99998563800968+0,00521067346259414i</v>
      </c>
      <c r="AA280" s="160">
        <f t="shared" si="188"/>
        <v>0.99999921367147104</v>
      </c>
      <c r="AB280" s="160">
        <f t="shared" si="189"/>
        <v>5.2107011395105636E-3</v>
      </c>
      <c r="AC280" s="171" t="str">
        <f t="shared" si="190"/>
        <v>0,132841554499704-5,16777211517452i</v>
      </c>
      <c r="AD280" s="190">
        <f t="shared" si="191"/>
        <v>14.268935895616863</v>
      </c>
      <c r="AE280" s="169">
        <f t="shared" si="192"/>
        <v>-88.527492227068635</v>
      </c>
      <c r="AF280" s="98" t="str">
        <f t="shared" si="178"/>
        <v>-0,0000375877424711299</v>
      </c>
      <c r="AG280" s="98" t="str">
        <f t="shared" si="179"/>
        <v>0,0000265331806384187i</v>
      </c>
      <c r="AH280" s="98">
        <f t="shared" si="193"/>
        <v>2.6533180638418701E-5</v>
      </c>
      <c r="AI280" s="98">
        <f t="shared" si="194"/>
        <v>1.5707963267948966</v>
      </c>
      <c r="AJ280" s="98" t="str">
        <f t="shared" si="180"/>
        <v>1+0,0242017222090707i</v>
      </c>
      <c r="AK280" s="98">
        <f t="shared" si="195"/>
        <v>1.0002928188075155</v>
      </c>
      <c r="AL280" s="98">
        <f t="shared" si="196"/>
        <v>2.4196998697629236E-2</v>
      </c>
      <c r="AM280" s="98" t="str">
        <f t="shared" si="181"/>
        <v>1+1,88587266136836i</v>
      </c>
      <c r="AN280" s="98">
        <f t="shared" si="197"/>
        <v>2.1345996568201215</v>
      </c>
      <c r="AO280" s="98">
        <f t="shared" si="198"/>
        <v>1.0832359612121749</v>
      </c>
      <c r="AP280" s="168" t="str">
        <f t="shared" si="199"/>
        <v>-2,6357580793127+1,48042149729206i</v>
      </c>
      <c r="AQ280" s="98">
        <f t="shared" si="200"/>
        <v>9.6089242647804483</v>
      </c>
      <c r="AR280" s="169">
        <f t="shared" si="201"/>
        <v>150.67846289199682</v>
      </c>
      <c r="AS280" s="168" t="str">
        <f t="shared" si="202"/>
        <v>7,30034273186977+13,8176585976332i</v>
      </c>
      <c r="AT280" s="190">
        <f t="shared" si="203"/>
        <v>23.877860160397326</v>
      </c>
      <c r="AU280" s="169">
        <f t="shared" si="204"/>
        <v>62.150970664928209</v>
      </c>
      <c r="AV280" s="225"/>
      <c r="AX280">
        <f t="shared" si="205"/>
        <v>0</v>
      </c>
      <c r="AY280">
        <f t="shared" si="206"/>
        <v>0</v>
      </c>
    </row>
    <row r="281" spans="14:51" x14ac:dyDescent="0.25">
      <c r="N281" s="170">
        <v>63</v>
      </c>
      <c r="O281" s="199">
        <f t="shared" si="172"/>
        <v>4265.7951880159299</v>
      </c>
      <c r="P281" s="189" t="str">
        <f t="shared" si="173"/>
        <v>120,833333333333</v>
      </c>
      <c r="Q281" s="160" t="str">
        <f t="shared" si="174"/>
        <v>1+23,8991469701614i</v>
      </c>
      <c r="R281" s="160">
        <f t="shared" si="182"/>
        <v>23.920059069771856</v>
      </c>
      <c r="S281" s="160">
        <f t="shared" si="183"/>
        <v>1.5289782227706645</v>
      </c>
      <c r="T281" s="160" t="str">
        <f t="shared" si="175"/>
        <v>1+0,00160816689892674i</v>
      </c>
      <c r="U281" s="160">
        <f t="shared" si="184"/>
        <v>1.0000012930995514</v>
      </c>
      <c r="V281" s="160">
        <f t="shared" si="185"/>
        <v>1.6081655125813978E-3</v>
      </c>
      <c r="W281" s="98" t="str">
        <f t="shared" si="176"/>
        <v>1-0,0137659086548129i</v>
      </c>
      <c r="X281" s="160">
        <f t="shared" si="186"/>
        <v>1.0000947456321789</v>
      </c>
      <c r="Y281" s="160">
        <f t="shared" si="187"/>
        <v>-1.3765039205997568E-2</v>
      </c>
      <c r="Z281" s="98" t="str">
        <f t="shared" si="177"/>
        <v>0,999984961149929+0,00533204563933588i</v>
      </c>
      <c r="AA281" s="160">
        <f t="shared" si="188"/>
        <v>0.99999917661802351</v>
      </c>
      <c r="AB281" s="160">
        <f t="shared" si="189"/>
        <v>5.3320752956766016E-3</v>
      </c>
      <c r="AC281" s="171" t="str">
        <f t="shared" si="190"/>
        <v>0,122899680673764-5,05054249165133i</v>
      </c>
      <c r="AD281" s="190">
        <f t="shared" si="191"/>
        <v>14.0693314625266</v>
      </c>
      <c r="AE281" s="169">
        <f t="shared" si="192"/>
        <v>-88.606042097367066</v>
      </c>
      <c r="AF281" s="98" t="str">
        <f t="shared" si="178"/>
        <v>-0,0000375877424711299</v>
      </c>
      <c r="AG281" s="98" t="str">
        <f t="shared" si="179"/>
        <v>0,0000271512178102132i</v>
      </c>
      <c r="AH281" s="98">
        <f t="shared" si="193"/>
        <v>2.7151217810213199E-5</v>
      </c>
      <c r="AI281" s="98">
        <f t="shared" si="194"/>
        <v>1.5707963267948966</v>
      </c>
      <c r="AJ281" s="98" t="str">
        <f t="shared" si="180"/>
        <v>1+0,0247654527376675i</v>
      </c>
      <c r="AK281" s="98">
        <f t="shared" si="195"/>
        <v>1.0003066168177144</v>
      </c>
      <c r="AL281" s="98">
        <f t="shared" si="196"/>
        <v>2.4760391487755867E-2</v>
      </c>
      <c r="AM281" s="98" t="str">
        <f t="shared" si="181"/>
        <v>1+1,92980027871209i</v>
      </c>
      <c r="AN281" s="98">
        <f t="shared" si="197"/>
        <v>2.1735061802804378</v>
      </c>
      <c r="AO281" s="98">
        <f t="shared" si="198"/>
        <v>1.0927041481009596</v>
      </c>
      <c r="AP281" s="168" t="str">
        <f t="shared" si="199"/>
        <v>-2,63568536567586+1,4496590814201i</v>
      </c>
      <c r="AQ281" s="98">
        <f t="shared" si="200"/>
        <v>9.5656933358850456</v>
      </c>
      <c r="AR281" s="169">
        <f t="shared" si="201"/>
        <v>151.18867001128305</v>
      </c>
      <c r="AS281" s="168" t="str">
        <f t="shared" si="202"/>
        <v>6,99763989932238+13,4898035721619i</v>
      </c>
      <c r="AT281" s="190">
        <f t="shared" si="203"/>
        <v>23.635024798411667</v>
      </c>
      <c r="AU281" s="169">
        <f t="shared" si="204"/>
        <v>62.582627913916049</v>
      </c>
      <c r="AV281" s="225"/>
      <c r="AX281">
        <f t="shared" si="205"/>
        <v>0</v>
      </c>
      <c r="AY281">
        <f t="shared" si="206"/>
        <v>0</v>
      </c>
    </row>
    <row r="282" spans="14:51" x14ac:dyDescent="0.25">
      <c r="N282" s="170">
        <v>64</v>
      </c>
      <c r="O282" s="199">
        <f t="shared" si="172"/>
        <v>4365.1583224016631</v>
      </c>
      <c r="P282" s="189" t="str">
        <f t="shared" si="173"/>
        <v>120,833333333333</v>
      </c>
      <c r="Q282" s="160" t="str">
        <f t="shared" si="174"/>
        <v>1+24,455829616054i</v>
      </c>
      <c r="R282" s="160">
        <f t="shared" si="182"/>
        <v>24.476266100234</v>
      </c>
      <c r="S282" s="160">
        <f t="shared" si="183"/>
        <v>1.5299290472062763</v>
      </c>
      <c r="T282" s="160" t="str">
        <f t="shared" si="175"/>
        <v>1+0,0016456259180896i</v>
      </c>
      <c r="U282" s="160">
        <f t="shared" si="184"/>
        <v>1.0000013540414143</v>
      </c>
      <c r="V282" s="160">
        <f t="shared" si="185"/>
        <v>1.6456244325939108E-3</v>
      </c>
      <c r="W282" s="98" t="str">
        <f t="shared" si="176"/>
        <v>1-0,014086557858847i</v>
      </c>
      <c r="X282" s="160">
        <f t="shared" si="186"/>
        <v>1.0000992106347804</v>
      </c>
      <c r="Y282" s="160">
        <f t="shared" si="187"/>
        <v>-1.4085626232647806E-2</v>
      </c>
      <c r="Z282" s="98" t="str">
        <f t="shared" si="177"/>
        <v>0,999984252390761+0,00545624493725355i</v>
      </c>
      <c r="AA282" s="160">
        <f t="shared" si="188"/>
        <v>0.99999913781879057</v>
      </c>
      <c r="AB282" s="160">
        <f t="shared" si="189"/>
        <v>5.4562767145844536E-3</v>
      </c>
      <c r="AC282" s="171" t="str">
        <f t="shared" si="190"/>
        <v>0,113403736633273-4,93595333963487i</v>
      </c>
      <c r="AD282" s="190">
        <f t="shared" si="191"/>
        <v>13.869712741524422</v>
      </c>
      <c r="AE282" s="169">
        <f t="shared" si="192"/>
        <v>-88.68385858727035</v>
      </c>
      <c r="AF282" s="98" t="str">
        <f t="shared" si="178"/>
        <v>-0,0000375877424711299</v>
      </c>
      <c r="AG282" s="98" t="str">
        <f t="shared" si="179"/>
        <v>0,0000277836509170796i</v>
      </c>
      <c r="AH282" s="98">
        <f t="shared" si="193"/>
        <v>2.77836509170796E-5</v>
      </c>
      <c r="AI282" s="98">
        <f t="shared" si="194"/>
        <v>1.5707963267948966</v>
      </c>
      <c r="AJ282" s="98" t="str">
        <f t="shared" si="180"/>
        <v>1+0,0253423142371153i</v>
      </c>
      <c r="AK282" s="98">
        <f t="shared" si="195"/>
        <v>1.0003210649041099</v>
      </c>
      <c r="AL282" s="98">
        <f t="shared" si="196"/>
        <v>2.5336891104132453E-2</v>
      </c>
      <c r="AM282" s="98" t="str">
        <f t="shared" si="181"/>
        <v>1+1,97475110170753i</v>
      </c>
      <c r="AN282" s="98">
        <f t="shared" si="197"/>
        <v>2.2135134771884957</v>
      </c>
      <c r="AO282" s="98">
        <f t="shared" si="198"/>
        <v>1.1020474614982838</v>
      </c>
      <c r="AP282" s="168" t="str">
        <f t="shared" si="199"/>
        <v>-2,63560922945079+1,41966512430872i</v>
      </c>
      <c r="AQ282" s="98">
        <f t="shared" si="200"/>
        <v>9.5239937035399365</v>
      </c>
      <c r="AR282" s="169">
        <f t="shared" si="201"/>
        <v>151.69097144070832</v>
      </c>
      <c r="AS282" s="168" t="str">
        <f t="shared" si="202"/>
        <v>6,70851287656992+13,1702395079447i</v>
      </c>
      <c r="AT282" s="190">
        <f t="shared" si="203"/>
        <v>23.393706445064378</v>
      </c>
      <c r="AU282" s="169">
        <f t="shared" si="204"/>
        <v>63.007112853438024</v>
      </c>
      <c r="AV282" s="225"/>
      <c r="AX282">
        <f t="shared" si="205"/>
        <v>0</v>
      </c>
      <c r="AY282">
        <f t="shared" si="206"/>
        <v>0</v>
      </c>
    </row>
    <row r="283" spans="14:51" x14ac:dyDescent="0.25">
      <c r="N283" s="170">
        <v>65</v>
      </c>
      <c r="O283" s="199">
        <f t="shared" si="172"/>
        <v>4466.8359215096343</v>
      </c>
      <c r="P283" s="189" t="str">
        <f t="shared" si="173"/>
        <v>120,833333333333</v>
      </c>
      <c r="Q283" s="160" t="str">
        <f t="shared" si="174"/>
        <v>1+25,0254790665202i</v>
      </c>
      <c r="R283" s="160">
        <f t="shared" si="182"/>
        <v>25.045450734790958</v>
      </c>
      <c r="S283" s="160">
        <f t="shared" si="183"/>
        <v>1.5308582996828333</v>
      </c>
      <c r="T283" s="160" t="str">
        <f t="shared" si="175"/>
        <v>1+0,00168395746989667i</v>
      </c>
      <c r="U283" s="160">
        <f t="shared" si="184"/>
        <v>1.0000014178553751</v>
      </c>
      <c r="V283" s="160">
        <f t="shared" si="185"/>
        <v>1.6839558781594831E-3</v>
      </c>
      <c r="W283" s="98" t="str">
        <f t="shared" si="176"/>
        <v>1-0,0144146759423155i</v>
      </c>
      <c r="X283" s="160">
        <f t="shared" si="186"/>
        <v>1.0001038860451059</v>
      </c>
      <c r="Y283" s="160">
        <f t="shared" si="187"/>
        <v>-1.4413677692458113E-2</v>
      </c>
      <c r="Z283" s="98" t="str">
        <f t="shared" si="177"/>
        <v>0,999983510228802+0,0055833372084589i</v>
      </c>
      <c r="AA283" s="160">
        <f t="shared" si="188"/>
        <v>0.99999909719154256</v>
      </c>
      <c r="AB283" s="160">
        <f t="shared" si="189"/>
        <v>5.5833712584704284E-3</v>
      </c>
      <c r="AC283" s="171" t="str">
        <f t="shared" si="190"/>
        <v>0,104333786473396-4,82394639001599i</v>
      </c>
      <c r="AD283" s="190">
        <f t="shared" si="191"/>
        <v>13.670080537593137</v>
      </c>
      <c r="AE283" s="169">
        <f t="shared" si="192"/>
        <v>-88.760982547299633</v>
      </c>
      <c r="AF283" s="98" t="str">
        <f t="shared" si="178"/>
        <v>-0,0000375877424711299</v>
      </c>
      <c r="AG283" s="98" t="str">
        <f t="shared" si="179"/>
        <v>0,0000284308152834223i</v>
      </c>
      <c r="AH283" s="98">
        <f t="shared" si="193"/>
        <v>2.84308152834223E-5</v>
      </c>
      <c r="AI283" s="98">
        <f t="shared" si="194"/>
        <v>1.5707963267948966</v>
      </c>
      <c r="AJ283" s="98" t="str">
        <f t="shared" si="180"/>
        <v>1+0,0259326125670169i</v>
      </c>
      <c r="AK283" s="98">
        <f t="shared" si="195"/>
        <v>1.0003361936841788</v>
      </c>
      <c r="AL283" s="98">
        <f t="shared" si="196"/>
        <v>2.5926801680803031E-2</v>
      </c>
      <c r="AM283" s="98" t="str">
        <f t="shared" si="181"/>
        <v>1+2,02074896387601i</v>
      </c>
      <c r="AN283" s="98">
        <f t="shared" si="197"/>
        <v>2.2546455098320815</v>
      </c>
      <c r="AO283" s="98">
        <f t="shared" si="198"/>
        <v>1.1112643292696458</v>
      </c>
      <c r="AP283" s="168" t="str">
        <f t="shared" si="199"/>
        <v>-2,63552950975032+1,39042371064571i</v>
      </c>
      <c r="AQ283" s="98">
        <f t="shared" si="200"/>
        <v>9.4837843075062178</v>
      </c>
      <c r="AR283" s="169">
        <f t="shared" si="201"/>
        <v>152.18525967800417</v>
      </c>
      <c r="AS283" s="168" t="str">
        <f t="shared" si="202"/>
        <v>6,43235466644739+12,8587212348747i</v>
      </c>
      <c r="AT283" s="190">
        <f t="shared" si="203"/>
        <v>23.153864845099342</v>
      </c>
      <c r="AU283" s="169">
        <f t="shared" si="204"/>
        <v>63.424277130704475</v>
      </c>
      <c r="AV283" s="225"/>
      <c r="AX283">
        <f t="shared" si="205"/>
        <v>0</v>
      </c>
      <c r="AY283">
        <f t="shared" si="206"/>
        <v>0</v>
      </c>
    </row>
    <row r="284" spans="14:51" x14ac:dyDescent="0.25">
      <c r="N284" s="170">
        <v>66</v>
      </c>
      <c r="O284" s="199">
        <f t="shared" ref="O284:O318" si="207">10^(3+(N284/100))</f>
        <v>4570.8818961487532</v>
      </c>
      <c r="P284" s="189" t="str">
        <f t="shared" si="173"/>
        <v>120,833333333333</v>
      </c>
      <c r="Q284" s="160" t="str">
        <f t="shared" si="174"/>
        <v>1+25,6083973572388i</v>
      </c>
      <c r="R284" s="160">
        <f t="shared" si="182"/>
        <v>25.627914765080575</v>
      </c>
      <c r="S284" s="160">
        <f t="shared" si="183"/>
        <v>1.5317664664792865</v>
      </c>
      <c r="T284" s="160" t="str">
        <f t="shared" si="175"/>
        <v>1+0,0017231818782441i</v>
      </c>
      <c r="U284" s="160">
        <f t="shared" si="184"/>
        <v>1.0000014846767906</v>
      </c>
      <c r="V284" s="160">
        <f t="shared" si="185"/>
        <v>1.7231801726671121E-3</v>
      </c>
      <c r="W284" s="98" t="str">
        <f t="shared" si="176"/>
        <v>1-0,0147504368777695i</v>
      </c>
      <c r="X284" s="160">
        <f t="shared" si="186"/>
        <v>1.0001087817773051</v>
      </c>
      <c r="Y284" s="160">
        <f t="shared" si="187"/>
        <v>-1.474936724005943E-2</v>
      </c>
      <c r="Z284" s="98" t="str">
        <f t="shared" si="177"/>
        <v>0,999982733089828+0,00571338983895638i</v>
      </c>
      <c r="AA284" s="160">
        <f t="shared" si="188"/>
        <v>0.99999905465018024</v>
      </c>
      <c r="AB284" s="160">
        <f t="shared" si="189"/>
        <v>5.7134263241876045E-3</v>
      </c>
      <c r="AC284" s="171" t="str">
        <f t="shared" si="190"/>
        <v>0,0956707797882271-4,71446457766241i</v>
      </c>
      <c r="AD284" s="190">
        <f t="shared" si="191"/>
        <v>13.470435627437832</v>
      </c>
      <c r="AE284" s="169">
        <f t="shared" si="192"/>
        <v>-88.83745448597476</v>
      </c>
      <c r="AF284" s="98" t="str">
        <f t="shared" si="178"/>
        <v>-0,0000375877424711299</v>
      </c>
      <c r="AG284" s="98" t="str">
        <f t="shared" si="179"/>
        <v>0,0000290930540443546i</v>
      </c>
      <c r="AH284" s="98">
        <f t="shared" si="193"/>
        <v>2.9093054044354601E-5</v>
      </c>
      <c r="AI284" s="98">
        <f t="shared" si="194"/>
        <v>1.5707963267948966</v>
      </c>
      <c r="AJ284" s="98" t="str">
        <f t="shared" si="180"/>
        <v>1+0,0265366607113602i</v>
      </c>
      <c r="AK284" s="98">
        <f t="shared" si="195"/>
        <v>1.0003520352164581</v>
      </c>
      <c r="AL284" s="98">
        <f t="shared" si="196"/>
        <v>2.6530434352937938E-2</v>
      </c>
      <c r="AM284" s="98" t="str">
        <f t="shared" si="181"/>
        <v>1+2,06781825389292i</v>
      </c>
      <c r="AN284" s="98">
        <f t="shared" si="197"/>
        <v>2.296926714358289</v>
      </c>
      <c r="AO284" s="98">
        <f t="shared" si="198"/>
        <v>1.1203533735521558</v>
      </c>
      <c r="AP284" s="168" t="str">
        <f t="shared" si="199"/>
        <v>-2,63544603814483+1,36191932326254i</v>
      </c>
      <c r="AQ284" s="98">
        <f t="shared" si="200"/>
        <v>9.4450241547123834</v>
      </c>
      <c r="AR284" s="169">
        <f t="shared" si="201"/>
        <v>152.67143795071004</v>
      </c>
      <c r="AS284" s="168" t="str">
        <f t="shared" si="202"/>
        <v>6,1685852295961+12,5550128768397i</v>
      </c>
      <c r="AT284" s="190">
        <f t="shared" si="203"/>
        <v>22.915459782150201</v>
      </c>
      <c r="AU284" s="169">
        <f t="shared" si="204"/>
        <v>63.833983464735219</v>
      </c>
      <c r="AV284" s="225"/>
      <c r="AX284">
        <f t="shared" si="205"/>
        <v>0</v>
      </c>
      <c r="AY284">
        <f t="shared" si="206"/>
        <v>0</v>
      </c>
    </row>
    <row r="285" spans="14:51" x14ac:dyDescent="0.25">
      <c r="N285" s="170">
        <v>67</v>
      </c>
      <c r="O285" s="199">
        <f t="shared" si="207"/>
        <v>4677.3514128719844</v>
      </c>
      <c r="P285" s="189" t="str">
        <f t="shared" si="173"/>
        <v>120,833333333333</v>
      </c>
      <c r="Q285" s="160" t="str">
        <f t="shared" si="174"/>
        <v>1+26,2048935592034i</v>
      </c>
      <c r="R285" s="160">
        <f t="shared" si="182"/>
        <v>26.223967023491696</v>
      </c>
      <c r="S285" s="160">
        <f t="shared" si="183"/>
        <v>1.5326540231220673</v>
      </c>
      <c r="T285" s="160" t="str">
        <f t="shared" si="175"/>
        <v>1+0,00176331994043237i</v>
      </c>
      <c r="U285" s="160">
        <f t="shared" si="184"/>
        <v>1.0000015546473977</v>
      </c>
      <c r="V285" s="160">
        <f t="shared" si="185"/>
        <v>1.7633181128738544E-3</v>
      </c>
      <c r="W285" s="98" t="str">
        <f t="shared" si="176"/>
        <v>1-0,0150940186901011i</v>
      </c>
      <c r="X285" s="160">
        <f t="shared" si="186"/>
        <v>1.0001139082125681</v>
      </c>
      <c r="Y285" s="160">
        <f t="shared" si="187"/>
        <v>-1.5092872559695332E-2</v>
      </c>
      <c r="Z285" s="98" t="str">
        <f t="shared" si="177"/>
        <v>0,999981919325422+0,00584647178437213i</v>
      </c>
      <c r="AA285" s="160">
        <f t="shared" si="188"/>
        <v>0.99999901010455017</v>
      </c>
      <c r="AB285" s="160">
        <f t="shared" si="189"/>
        <v>5.846510878986631E-3</v>
      </c>
      <c r="AC285" s="171" t="str">
        <f t="shared" si="190"/>
        <v>0,0873965128467038-4,60745202208757i</v>
      </c>
      <c r="AD285" s="190">
        <f t="shared" si="191"/>
        <v>13.270778761104289</v>
      </c>
      <c r="AE285" s="169">
        <f t="shared" si="192"/>
        <v>-88.913314589476514</v>
      </c>
      <c r="AF285" s="98" t="str">
        <f t="shared" si="178"/>
        <v>-0,0000375877424711299</v>
      </c>
      <c r="AG285" s="98" t="str">
        <f t="shared" si="179"/>
        <v>0,0000297707183276333i</v>
      </c>
      <c r="AH285" s="98">
        <f t="shared" si="193"/>
        <v>2.9770718327633301E-5</v>
      </c>
      <c r="AI285" s="98">
        <f t="shared" si="194"/>
        <v>1.5707963267948966</v>
      </c>
      <c r="AJ285" s="98" t="str">
        <f t="shared" si="180"/>
        <v>1+0,0271547789444669i</v>
      </c>
      <c r="AK285" s="98">
        <f t="shared" si="195"/>
        <v>1.0003686230682782</v>
      </c>
      <c r="AL285" s="98">
        <f t="shared" si="196"/>
        <v>2.7148107413985632E-2</v>
      </c>
      <c r="AM285" s="98" t="str">
        <f t="shared" si="181"/>
        <v>1+2,11598392851885i</v>
      </c>
      <c r="AN285" s="98">
        <f t="shared" si="197"/>
        <v>2.3403820170540679</v>
      </c>
      <c r="AO285" s="98">
        <f t="shared" si="198"/>
        <v>1.1293134056883809</v>
      </c>
      <c r="AP285" s="168" t="str">
        <f t="shared" si="199"/>
        <v>-2,6353586383106+1,33413683484533i</v>
      </c>
      <c r="AQ285" s="98">
        <f t="shared" si="200"/>
        <v>9.4076723983405515</v>
      </c>
      <c r="AR285" s="169">
        <f t="shared" si="201"/>
        <v>153.14941991690037</v>
      </c>
      <c r="AS285" s="168" t="str">
        <f t="shared" si="202"/>
        <v>5,91665030236084+12,2588873940359i</v>
      </c>
      <c r="AT285" s="190">
        <f t="shared" si="203"/>
        <v>22.678451159444815</v>
      </c>
      <c r="AU285" s="169">
        <f t="shared" si="204"/>
        <v>64.2361053274238</v>
      </c>
      <c r="AV285" s="225"/>
      <c r="AX285">
        <f t="shared" si="205"/>
        <v>0</v>
      </c>
      <c r="AY285">
        <f t="shared" si="206"/>
        <v>0</v>
      </c>
    </row>
    <row r="286" spans="14:51" x14ac:dyDescent="0.25">
      <c r="N286" s="170">
        <v>68</v>
      </c>
      <c r="O286" s="199">
        <f t="shared" si="207"/>
        <v>4786.3009232263848</v>
      </c>
      <c r="P286" s="189" t="str">
        <f t="shared" si="173"/>
        <v>120,833333333333</v>
      </c>
      <c r="Q286" s="160" t="str">
        <f t="shared" si="174"/>
        <v>1+26,8152839425959i</v>
      </c>
      <c r="R286" s="160">
        <f t="shared" si="182"/>
        <v>26.833923546921749</v>
      </c>
      <c r="S286" s="160">
        <f t="shared" si="183"/>
        <v>1.5335214346088342</v>
      </c>
      <c r="T286" s="160" t="str">
        <f t="shared" si="175"/>
        <v>1+0,00180439293819336i</v>
      </c>
      <c r="U286" s="160">
        <f t="shared" si="184"/>
        <v>1.0000016279156125</v>
      </c>
      <c r="V286" s="160">
        <f t="shared" si="185"/>
        <v>1.8043909799293012E-3</v>
      </c>
      <c r="W286" s="98" t="str">
        <f t="shared" si="176"/>
        <v>1-0,0154456035509352i</v>
      </c>
      <c r="X286" s="160">
        <f t="shared" si="186"/>
        <v>1.000119276221118</v>
      </c>
      <c r="Y286" s="160">
        <f t="shared" si="187"/>
        <v>-1.5444375457989417E-2</v>
      </c>
      <c r="Z286" s="98" t="str">
        <f t="shared" si="177"/>
        <v>0,999981067209481+0,00598265360651516i</v>
      </c>
      <c r="AA286" s="160">
        <f t="shared" si="188"/>
        <v>0.99999896346025685</v>
      </c>
      <c r="AB286" s="160">
        <f t="shared" si="189"/>
        <v>5.9826954971323723E-3</v>
      </c>
      <c r="AC286" s="171" t="str">
        <f t="shared" si="190"/>
        <v>0,0794935914259688-4,50285400802872i</v>
      </c>
      <c r="AD286" s="190">
        <f t="shared" si="191"/>
        <v>13.071110663543104</v>
      </c>
      <c r="AE286" s="169">
        <f t="shared" si="192"/>
        <v>-88.98860274124786</v>
      </c>
      <c r="AF286" s="98" t="str">
        <f t="shared" si="178"/>
        <v>-0,0000375877424711299</v>
      </c>
      <c r="AG286" s="98" t="str">
        <f t="shared" si="179"/>
        <v>0,0000304641674398313i</v>
      </c>
      <c r="AH286" s="98">
        <f t="shared" si="193"/>
        <v>3.0464167439831299E-5</v>
      </c>
      <c r="AI286" s="98">
        <f t="shared" si="194"/>
        <v>1.5707963267948966</v>
      </c>
      <c r="AJ286" s="98" t="str">
        <f t="shared" si="180"/>
        <v>1+0,027787295000806i</v>
      </c>
      <c r="AK286" s="98">
        <f t="shared" si="195"/>
        <v>1.0003859923866696</v>
      </c>
      <c r="AL286" s="98">
        <f t="shared" si="196"/>
        <v>2.7780146476062462E-2</v>
      </c>
      <c r="AM286" s="98" t="str">
        <f t="shared" si="181"/>
        <v>1+2,16527152583204i</v>
      </c>
      <c r="AN286" s="98">
        <f t="shared" si="197"/>
        <v>2.3850368509897302</v>
      </c>
      <c r="AO286" s="98">
        <f t="shared" si="198"/>
        <v>1.1381434207639747</v>
      </c>
      <c r="AP286" s="168" t="str">
        <f t="shared" si="199"/>
        <v>-2,63526712566203+1,30706149984813i</v>
      </c>
      <c r="AQ286" s="98">
        <f t="shared" si="200"/>
        <v>9.371688412025291</v>
      </c>
      <c r="AR286" s="169">
        <f t="shared" si="201"/>
        <v>153.61912934302441</v>
      </c>
      <c r="AS286" s="168" t="str">
        <f t="shared" si="202"/>
        <v>5,67602026514552+11,9701261518511i</v>
      </c>
      <c r="AT286" s="190">
        <f t="shared" si="203"/>
        <v>22.442799075568374</v>
      </c>
      <c r="AU286" s="169">
        <f t="shared" si="204"/>
        <v>64.630526601776481</v>
      </c>
      <c r="AV286" s="225"/>
      <c r="AX286">
        <f t="shared" si="205"/>
        <v>0</v>
      </c>
      <c r="AY286">
        <f t="shared" si="206"/>
        <v>0</v>
      </c>
    </row>
    <row r="287" spans="14:51" x14ac:dyDescent="0.25">
      <c r="N287" s="170">
        <v>69</v>
      </c>
      <c r="O287" s="199">
        <f t="shared" si="207"/>
        <v>4897.7881936844633</v>
      </c>
      <c r="P287" s="189" t="str">
        <f t="shared" si="173"/>
        <v>120,833333333333</v>
      </c>
      <c r="Q287" s="160" t="str">
        <f t="shared" si="174"/>
        <v>1+27,4398921444771i</v>
      </c>
      <c r="R287" s="160">
        <f t="shared" si="182"/>
        <v>27.45810774435369</v>
      </c>
      <c r="S287" s="160">
        <f t="shared" si="183"/>
        <v>1.5343691556285175</v>
      </c>
      <c r="T287" s="160" t="str">
        <f t="shared" si="175"/>
        <v>1+0,00184642264897415i</v>
      </c>
      <c r="U287" s="160">
        <f t="shared" si="184"/>
        <v>1.0000017046368463</v>
      </c>
      <c r="V287" s="160">
        <f t="shared" si="185"/>
        <v>1.8464205506565994E-3</v>
      </c>
      <c r="W287" s="98" t="str">
        <f t="shared" si="176"/>
        <v>1-0,0158053778752187i</v>
      </c>
      <c r="X287" s="160">
        <f t="shared" si="186"/>
        <v>1.0001248971852359</v>
      </c>
      <c r="Y287" s="160">
        <f t="shared" si="187"/>
        <v>-1.5804061958794045E-2</v>
      </c>
      <c r="Z287" s="98" t="str">
        <f t="shared" si="177"/>
        <v>0,999980174934554+0,00612200751079015i</v>
      </c>
      <c r="AA287" s="160">
        <f t="shared" si="188"/>
        <v>0.99999891461846269</v>
      </c>
      <c r="AB287" s="160">
        <f t="shared" si="189"/>
        <v>6.1220523973761687E-3</v>
      </c>
      <c r="AC287" s="171" t="str">
        <f t="shared" si="190"/>
        <v>0,0719453952354323-4,40061696597126i</v>
      </c>
      <c r="AD287" s="190">
        <f t="shared" si="191"/>
        <v>12.871432036123419</v>
      </c>
      <c r="AE287" s="169">
        <f t="shared" si="192"/>
        <v>-89.063358541536758</v>
      </c>
      <c r="AF287" s="98" t="str">
        <f t="shared" si="178"/>
        <v>-0,0000375877424711299</v>
      </c>
      <c r="AG287" s="98" t="str">
        <f t="shared" si="179"/>
        <v>0,0000311737690568469i</v>
      </c>
      <c r="AH287" s="98">
        <f t="shared" si="193"/>
        <v>3.11737690568469E-5</v>
      </c>
      <c r="AI287" s="98">
        <f t="shared" si="194"/>
        <v>1.5707963267948966</v>
      </c>
      <c r="AJ287" s="98" t="str">
        <f t="shared" si="180"/>
        <v>1+0,0284345442487628i</v>
      </c>
      <c r="AK287" s="98">
        <f t="shared" si="195"/>
        <v>1.0004041799725922</v>
      </c>
      <c r="AL287" s="98">
        <f t="shared" si="196"/>
        <v>2.8426884633626453E-2</v>
      </c>
      <c r="AM287" s="98" t="str">
        <f t="shared" si="181"/>
        <v>1+2,21570717876898i</v>
      </c>
      <c r="AN287" s="98">
        <f t="shared" si="197"/>
        <v>2.430917173012769</v>
      </c>
      <c r="AO287" s="98">
        <f t="shared" si="198"/>
        <v>1.1468425918025136</v>
      </c>
      <c r="AP287" s="168" t="str">
        <f t="shared" si="199"/>
        <v>-2,63517130696683+1,28067894660397i</v>
      </c>
      <c r="AQ287" s="98">
        <f t="shared" si="200"/>
        <v>9.3370318590911552</v>
      </c>
      <c r="AR287" s="169">
        <f t="shared" si="201"/>
        <v>154.08049976191651</v>
      </c>
      <c r="AS287" s="168" t="str">
        <f t="shared" si="202"/>
        <v>5,44618905919483+11,688518514662i</v>
      </c>
      <c r="AT287" s="190">
        <f t="shared" si="203"/>
        <v>22.208463895214567</v>
      </c>
      <c r="AU287" s="169">
        <f t="shared" si="204"/>
        <v>65.01714122037977</v>
      </c>
      <c r="AV287" s="225"/>
      <c r="AX287">
        <f t="shared" si="205"/>
        <v>0</v>
      </c>
      <c r="AY287">
        <f t="shared" si="206"/>
        <v>0</v>
      </c>
    </row>
    <row r="288" spans="14:51" x14ac:dyDescent="0.25">
      <c r="N288" s="170">
        <v>70</v>
      </c>
      <c r="O288" s="199">
        <f t="shared" si="207"/>
        <v>5011.8723362727324</v>
      </c>
      <c r="P288" s="189" t="str">
        <f t="shared" si="173"/>
        <v>120,833333333333</v>
      </c>
      <c r="Q288" s="160" t="str">
        <f t="shared" si="174"/>
        <v>1+28,0790493403832i</v>
      </c>
      <c r="R288" s="160">
        <f t="shared" si="182"/>
        <v>28.09685056834083</v>
      </c>
      <c r="S288" s="160">
        <f t="shared" si="183"/>
        <v>1.535197630777652</v>
      </c>
      <c r="T288" s="160" t="str">
        <f t="shared" si="175"/>
        <v>1+0,00188943135748372i</v>
      </c>
      <c r="U288" s="160">
        <f t="shared" si="184"/>
        <v>1.0000017849738343</v>
      </c>
      <c r="V288" s="160">
        <f t="shared" si="185"/>
        <v>1.8894291090961728E-3</v>
      </c>
      <c r="W288" s="98" t="str">
        <f t="shared" si="176"/>
        <v>1-0,0161735324200606i</v>
      </c>
      <c r="X288" s="160">
        <f t="shared" si="186"/>
        <v>1.0001307830233717</v>
      </c>
      <c r="Y288" s="160">
        <f t="shared" si="187"/>
        <v>-1.6172122400165679E-2</v>
      </c>
      <c r="Z288" s="98" t="str">
        <f t="shared" si="177"/>
        <v>0,999979240608004+0,00626460738448171i</v>
      </c>
      <c r="AA288" s="160">
        <f t="shared" si="188"/>
        <v>0.99999886347567524</v>
      </c>
      <c r="AB288" s="160">
        <f t="shared" si="189"/>
        <v>6.2646554813038276E-3</v>
      </c>
      <c r="AC288" s="171" t="str">
        <f t="shared" si="190"/>
        <v>0,0647360438670656-4,30068845265214i</v>
      </c>
      <c r="AD288" s="190">
        <f t="shared" si="191"/>
        <v>12.671743558098008</v>
      </c>
      <c r="AE288" s="169">
        <f t="shared" si="192"/>
        <v>-89.137621326883021</v>
      </c>
      <c r="AF288" s="98" t="str">
        <f t="shared" si="178"/>
        <v>-0,0000375877424711299</v>
      </c>
      <c r="AG288" s="98" t="str">
        <f t="shared" si="179"/>
        <v>0,0000318998994188501i</v>
      </c>
      <c r="AH288" s="98">
        <f t="shared" si="193"/>
        <v>3.1899899418850101E-5</v>
      </c>
      <c r="AI288" s="98">
        <f t="shared" si="194"/>
        <v>1.5707963267948966</v>
      </c>
      <c r="AJ288" s="98" t="str">
        <f t="shared" si="180"/>
        <v>1+0,0290968698684561i</v>
      </c>
      <c r="AK288" s="98">
        <f t="shared" si="195"/>
        <v>1.0004232243586419</v>
      </c>
      <c r="AL288" s="98">
        <f t="shared" si="196"/>
        <v>2.9088662630480148E-2</v>
      </c>
      <c r="AM288" s="98" t="str">
        <f t="shared" si="181"/>
        <v>1+2,26731762898046i</v>
      </c>
      <c r="AN288" s="98">
        <f t="shared" si="197"/>
        <v>2.4780494810809519</v>
      </c>
      <c r="AO288" s="98">
        <f t="shared" si="198"/>
        <v>1.1554102636694568</v>
      </c>
      <c r="AP288" s="168" t="str">
        <f t="shared" si="199"/>
        <v>-2,63507097994366+1,25497516962909i</v>
      </c>
      <c r="AQ288" s="98">
        <f t="shared" si="200"/>
        <v>9.3036627567965162</v>
      </c>
      <c r="AR288" s="169">
        <f t="shared" si="201"/>
        <v>154.53347411395114</v>
      </c>
      <c r="AS288" s="168" t="str">
        <f t="shared" si="202"/>
        <v>5,22667314983852+11,4138614629956i</v>
      </c>
      <c r="AT288" s="190">
        <f t="shared" si="203"/>
        <v>21.975406314894496</v>
      </c>
      <c r="AU288" s="169">
        <f t="shared" si="204"/>
        <v>65.395852787068065</v>
      </c>
      <c r="AV288" s="225"/>
      <c r="AX288">
        <f t="shared" si="205"/>
        <v>0</v>
      </c>
      <c r="AY288">
        <f t="shared" si="206"/>
        <v>0</v>
      </c>
    </row>
    <row r="289" spans="14:51" x14ac:dyDescent="0.25">
      <c r="N289" s="170">
        <v>71</v>
      </c>
      <c r="O289" s="199">
        <f t="shared" si="207"/>
        <v>5128.6138399136489</v>
      </c>
      <c r="P289" s="189" t="str">
        <f t="shared" si="173"/>
        <v>120,833333333333</v>
      </c>
      <c r="Q289" s="160" t="str">
        <f t="shared" si="174"/>
        <v>1+28,7330944199195i</v>
      </c>
      <c r="R289" s="160">
        <f t="shared" si="182"/>
        <v>28.750490690490992</v>
      </c>
      <c r="S289" s="160">
        <f t="shared" si="183"/>
        <v>1.5360072947729986</v>
      </c>
      <c r="T289" s="160" t="str">
        <f t="shared" si="175"/>
        <v>1+0,00193344186750859i</v>
      </c>
      <c r="U289" s="160">
        <f t="shared" si="184"/>
        <v>1.0000018690969807</v>
      </c>
      <c r="V289" s="160">
        <f t="shared" si="185"/>
        <v>1.9334394583181709E-3</v>
      </c>
      <c r="W289" s="98" t="str">
        <f t="shared" si="176"/>
        <v>1-0,0165502623858736i</v>
      </c>
      <c r="X289" s="160">
        <f t="shared" si="186"/>
        <v>1.0001369462153877</v>
      </c>
      <c r="Y289" s="160">
        <f t="shared" si="187"/>
        <v>-1.6548751533508491E-2</v>
      </c>
      <c r="Z289" s="98" t="str">
        <f t="shared" si="177"/>
        <v>0,999978262248001+0,00641052883593038i</v>
      </c>
      <c r="AA289" s="160">
        <f t="shared" si="188"/>
        <v>0.99999880992353585</v>
      </c>
      <c r="AB289" s="160">
        <f t="shared" si="189"/>
        <v>6.4105803725798445E-3</v>
      </c>
      <c r="AC289" s="171" t="str">
        <f t="shared" si="190"/>
        <v>0,057850364209769-4,2030171315737i</v>
      </c>
      <c r="AD289" s="190">
        <f t="shared" si="191"/>
        <v>12.472045888023931</v>
      </c>
      <c r="AE289" s="169">
        <f t="shared" si="192"/>
        <v>-89.211430189552999</v>
      </c>
      <c r="AF289" s="98" t="str">
        <f t="shared" si="178"/>
        <v>-0,0000375877424711299</v>
      </c>
      <c r="AG289" s="98" t="str">
        <f t="shared" si="179"/>
        <v>0,0000326429435297702i</v>
      </c>
      <c r="AH289" s="98">
        <f t="shared" si="193"/>
        <v>3.2642943529770201E-5</v>
      </c>
      <c r="AI289" s="98">
        <f t="shared" si="194"/>
        <v>1.5707963267948966</v>
      </c>
      <c r="AJ289" s="98" t="str">
        <f t="shared" si="180"/>
        <v>1+0,029774623033696i</v>
      </c>
      <c r="AK289" s="98">
        <f t="shared" si="195"/>
        <v>1.0004431658903961</v>
      </c>
      <c r="AL289" s="98">
        <f t="shared" si="196"/>
        <v>2.9765829030143801E-2</v>
      </c>
      <c r="AM289" s="98" t="str">
        <f t="shared" si="181"/>
        <v>1+2,32013024101032i</v>
      </c>
      <c r="AN289" s="98">
        <f t="shared" si="197"/>
        <v>2.52646083192489</v>
      </c>
      <c r="AO289" s="98">
        <f t="shared" si="198"/>
        <v>1.163845946735202</v>
      </c>
      <c r="AP289" s="168" t="str">
        <f t="shared" si="199"/>
        <v>-2,63496593284112+1,22993652211602i</v>
      </c>
      <c r="AQ289" s="98">
        <f t="shared" si="200"/>
        <v>9.2715415355875468</v>
      </c>
      <c r="AR289" s="169">
        <f t="shared" si="201"/>
        <v>154.97800437419943</v>
      </c>
      <c r="AS289" s="168" t="str">
        <f t="shared" si="202"/>
        <v>5,01701053430661+11,1459592326036i</v>
      </c>
      <c r="AT289" s="190">
        <f t="shared" si="203"/>
        <v>21.743587423611466</v>
      </c>
      <c r="AU289" s="169">
        <f t="shared" si="204"/>
        <v>65.76657418464643</v>
      </c>
      <c r="AV289" s="225"/>
      <c r="AX289">
        <f t="shared" si="205"/>
        <v>0</v>
      </c>
      <c r="AY289">
        <f t="shared" si="206"/>
        <v>0</v>
      </c>
    </row>
    <row r="290" spans="14:51" x14ac:dyDescent="0.25">
      <c r="N290" s="170">
        <v>72</v>
      </c>
      <c r="O290" s="199">
        <f t="shared" si="207"/>
        <v>5248.0746024977261</v>
      </c>
      <c r="P290" s="189" t="str">
        <f t="shared" si="173"/>
        <v>120,833333333333</v>
      </c>
      <c r="Q290" s="160" t="str">
        <f t="shared" si="174"/>
        <v>1+29,402374166445i</v>
      </c>
      <c r="R290" s="160">
        <f t="shared" si="182"/>
        <v>29.419374681043653</v>
      </c>
      <c r="S290" s="160">
        <f t="shared" si="183"/>
        <v>1.5367985726604605</v>
      </c>
      <c r="T290" s="160" t="str">
        <f t="shared" si="175"/>
        <v>1+0,00197847751400376i</v>
      </c>
      <c r="U290" s="160">
        <f t="shared" si="184"/>
        <v>1.0000019571847214</v>
      </c>
      <c r="V290" s="160">
        <f t="shared" si="185"/>
        <v>1.9784749325099885E-3</v>
      </c>
      <c r="W290" s="98" t="str">
        <f t="shared" si="176"/>
        <v>1-0,0169357675198722i</v>
      </c>
      <c r="X290" s="160">
        <f t="shared" si="186"/>
        <v>1.0001433998289881</v>
      </c>
      <c r="Y290" s="160">
        <f t="shared" si="187"/>
        <v>-1.6934148624931786E-2</v>
      </c>
      <c r="Z290" s="98" t="str">
        <f t="shared" si="177"/>
        <v>0,999977237779311+0,00655984923462127i</v>
      </c>
      <c r="AA290" s="160">
        <f t="shared" si="188"/>
        <v>0.99999875384858439</v>
      </c>
      <c r="AB290" s="160">
        <f t="shared" si="189"/>
        <v>6.559904457109223E-3</v>
      </c>
      <c r="AC290" s="171" t="str">
        <f t="shared" si="190"/>
        <v>0,0512738592678682-4,10755275355528i</v>
      </c>
      <c r="AD290" s="190">
        <f t="shared" si="191"/>
        <v>12.272339665140246</v>
      </c>
      <c r="AE290" s="169">
        <f t="shared" si="192"/>
        <v>-89.284823996925397</v>
      </c>
      <c r="AF290" s="98" t="str">
        <f t="shared" si="178"/>
        <v>-0,0000375877424711299</v>
      </c>
      <c r="AG290" s="98" t="str">
        <f t="shared" si="179"/>
        <v>0,0000334032953614302i</v>
      </c>
      <c r="AH290" s="98">
        <f t="shared" si="193"/>
        <v>3.3403295361430197E-5</v>
      </c>
      <c r="AI290" s="98">
        <f t="shared" si="194"/>
        <v>1.5707963267948966</v>
      </c>
      <c r="AJ290" s="98" t="str">
        <f t="shared" si="180"/>
        <v>1+0,0304681630981823i</v>
      </c>
      <c r="AK290" s="98">
        <f t="shared" si="195"/>
        <v>1.0004640468115671</v>
      </c>
      <c r="AL290" s="98">
        <f t="shared" si="196"/>
        <v>3.045874038964419E-2</v>
      </c>
      <c r="AM290" s="98" t="str">
        <f t="shared" si="181"/>
        <v>1+2,37417301680452i</v>
      </c>
      <c r="AN290" s="98">
        <f t="shared" si="197"/>
        <v>2.5761788590318559</v>
      </c>
      <c r="AO290" s="98">
        <f t="shared" si="198"/>
        <v>1.1721493103450304</v>
      </c>
      <c r="AP290" s="168" t="str">
        <f t="shared" si="199"/>
        <v>-2,63485594399758+1,20554970861095i</v>
      </c>
      <c r="AQ290" s="98">
        <f t="shared" si="200"/>
        <v>9.2406290934014059</v>
      </c>
      <c r="AR290" s="169">
        <f t="shared" si="201"/>
        <v>155.41405116832917</v>
      </c>
      <c r="AS290" s="168" t="str">
        <f t="shared" si="202"/>
        <v>4,81675979228903+10,8846229740885i</v>
      </c>
      <c r="AT290" s="190">
        <f t="shared" si="203"/>
        <v>21.512968758541653</v>
      </c>
      <c r="AU290" s="169">
        <f t="shared" si="204"/>
        <v>66.129227171403826</v>
      </c>
      <c r="AV290" s="225"/>
      <c r="AX290">
        <f t="shared" si="205"/>
        <v>0</v>
      </c>
      <c r="AY290">
        <f t="shared" si="206"/>
        <v>0</v>
      </c>
    </row>
    <row r="291" spans="14:51" x14ac:dyDescent="0.25">
      <c r="N291" s="170">
        <v>73</v>
      </c>
      <c r="O291" s="199">
        <f t="shared" si="207"/>
        <v>5370.3179637025269</v>
      </c>
      <c r="P291" s="189" t="str">
        <f t="shared" si="173"/>
        <v>120,833333333333</v>
      </c>
      <c r="Q291" s="160" t="str">
        <f t="shared" si="174"/>
        <v>1+30,0872434409397i</v>
      </c>
      <c r="R291" s="160">
        <f t="shared" si="182"/>
        <v>30.103857192631793</v>
      </c>
      <c r="S291" s="160">
        <f t="shared" si="183"/>
        <v>1.5375718800202987</v>
      </c>
      <c r="T291" s="160" t="str">
        <f t="shared" si="175"/>
        <v>1+0,00202456217546509i</v>
      </c>
      <c r="U291" s="160">
        <f t="shared" si="184"/>
        <v>1.000002049423901</v>
      </c>
      <c r="V291" s="160">
        <f t="shared" si="185"/>
        <v>2.0245594093449841E-3</v>
      </c>
      <c r="W291" s="98" t="str">
        <f t="shared" si="176"/>
        <v>1-0,0173302522219812i</v>
      </c>
      <c r="X291" s="160">
        <f t="shared" si="186"/>
        <v>1.0001501575473941</v>
      </c>
      <c r="Y291" s="160">
        <f t="shared" si="187"/>
        <v>-1.7328517558864932E-2</v>
      </c>
      <c r="Z291" s="98" t="str">
        <f t="shared" si="177"/>
        <v>0,9999761650289+0,0067126477522062i</v>
      </c>
      <c r="AA291" s="160">
        <f t="shared" si="188"/>
        <v>0.99999869513202411</v>
      </c>
      <c r="AB291" s="160">
        <f t="shared" si="189"/>
        <v>6.7127069241379646E-3</v>
      </c>
      <c r="AC291" s="171" t="str">
        <f t="shared" si="190"/>
        <v>0,0449926783260154-4,01424613734891i</v>
      </c>
      <c r="AD291" s="190">
        <f t="shared" si="191"/>
        <v>12.072625510706922</v>
      </c>
      <c r="AE291" s="169">
        <f t="shared" si="192"/>
        <v>-89.357841410832179</v>
      </c>
      <c r="AF291" s="98" t="str">
        <f t="shared" si="178"/>
        <v>-0,0000375877424711299</v>
      </c>
      <c r="AG291" s="98" t="str">
        <f t="shared" si="179"/>
        <v>0,0000341813580624358i</v>
      </c>
      <c r="AH291" s="98">
        <f t="shared" si="193"/>
        <v>3.4181358062435798E-5</v>
      </c>
      <c r="AI291" s="98">
        <f t="shared" si="194"/>
        <v>1.5707963267948966</v>
      </c>
      <c r="AJ291" s="98" t="str">
        <f t="shared" si="180"/>
        <v>1+0,031177857786037i</v>
      </c>
      <c r="AK291" s="98">
        <f t="shared" si="195"/>
        <v>1.0004859113531417</v>
      </c>
      <c r="AL291" s="98">
        <f t="shared" si="196"/>
        <v>3.1167761436754066E-2</v>
      </c>
      <c r="AM291" s="98" t="str">
        <f t="shared" si="181"/>
        <v>1+2,42947461055812i</v>
      </c>
      <c r="AN291" s="98">
        <f t="shared" si="197"/>
        <v>2.6272317909439451</v>
      </c>
      <c r="AO291" s="98">
        <f t="shared" si="198"/>
        <v>1.1803201761412532</v>
      </c>
      <c r="AP291" s="168" t="str">
        <f t="shared" si="199"/>
        <v>-2,63474078138074+1,18180177787139i</v>
      </c>
      <c r="AQ291" s="98">
        <f t="shared" si="200"/>
        <v>9.210886845087618</v>
      </c>
      <c r="AR291" s="169">
        <f t="shared" si="201"/>
        <v>155.84158337983519</v>
      </c>
      <c r="AS291" s="168" t="str">
        <f t="shared" si="202"/>
        <v>4,6254991774832+10,6296704318102i</v>
      </c>
      <c r="AT291" s="190">
        <f t="shared" si="203"/>
        <v>21.283512355794564</v>
      </c>
      <c r="AU291" s="169">
        <f t="shared" si="204"/>
        <v>66.483741969003106</v>
      </c>
      <c r="AV291" s="225"/>
      <c r="AX291">
        <f t="shared" si="205"/>
        <v>0</v>
      </c>
      <c r="AY291">
        <f t="shared" si="206"/>
        <v>0</v>
      </c>
    </row>
    <row r="292" spans="14:51" x14ac:dyDescent="0.25">
      <c r="N292" s="170">
        <v>74</v>
      </c>
      <c r="O292" s="199">
        <f t="shared" si="207"/>
        <v>5495.4087385762541</v>
      </c>
      <c r="P292" s="189" t="str">
        <f t="shared" si="173"/>
        <v>120,833333333333</v>
      </c>
      <c r="Q292" s="160" t="str">
        <f t="shared" si="174"/>
        <v>1+30,7880653701588i</v>
      </c>
      <c r="R292" s="160">
        <f t="shared" si="182"/>
        <v>30.804301148332705</v>
      </c>
      <c r="S292" s="160">
        <f t="shared" si="183"/>
        <v>1.5383276231686684</v>
      </c>
      <c r="T292" s="160" t="str">
        <f t="shared" si="175"/>
        <v>1+0,00207172028659011i</v>
      </c>
      <c r="U292" s="160">
        <f t="shared" si="184"/>
        <v>1.0000021460101702</v>
      </c>
      <c r="V292" s="160">
        <f t="shared" si="185"/>
        <v>2.0717173226393595E-3</v>
      </c>
      <c r="W292" s="98" t="str">
        <f t="shared" si="176"/>
        <v>1-0,0177339256532114i</v>
      </c>
      <c r="X292" s="160">
        <f t="shared" si="186"/>
        <v>1.0001572336983189</v>
      </c>
      <c r="Y292" s="160">
        <f t="shared" si="187"/>
        <v>-1.7732066943975715E-2</v>
      </c>
      <c r="Z292" s="98" t="str">
        <f t="shared" si="177"/>
        <v>0,999975041721319+0,00686900540448177i</v>
      </c>
      <c r="AA292" s="160">
        <f t="shared" si="188"/>
        <v>0.99999863364946684</v>
      </c>
      <c r="AB292" s="160">
        <f t="shared" si="189"/>
        <v>6.8690688083151491E-3</v>
      </c>
      <c r="AC292" s="171" t="str">
        <f t="shared" si="190"/>
        <v>0,038993588404832-3,92304915034183i</v>
      </c>
      <c r="AD292" s="190">
        <f t="shared" si="191"/>
        <v>11.872904029306534</v>
      </c>
      <c r="AE292" s="169">
        <f t="shared" si="192"/>
        <v>-89.430520906859314</v>
      </c>
      <c r="AF292" s="98" t="str">
        <f t="shared" si="178"/>
        <v>-0,0000375877424711299</v>
      </c>
      <c r="AG292" s="98" t="str">
        <f t="shared" si="179"/>
        <v>0,0000349775441719298i</v>
      </c>
      <c r="AH292" s="98">
        <f t="shared" si="193"/>
        <v>3.4977544171929801E-5</v>
      </c>
      <c r="AI292" s="98">
        <f t="shared" si="194"/>
        <v>1.5707963267948966</v>
      </c>
      <c r="AJ292" s="98" t="str">
        <f t="shared" si="180"/>
        <v>1+0,0319040833867776i</v>
      </c>
      <c r="AK292" s="98">
        <f t="shared" si="195"/>
        <v>1.0005088058266907</v>
      </c>
      <c r="AL292" s="98">
        <f t="shared" si="196"/>
        <v>3.1893265250726131E-2</v>
      </c>
      <c r="AM292" s="98" t="str">
        <f t="shared" si="181"/>
        <v>1+2,48606434390814i</v>
      </c>
      <c r="AN292" s="98">
        <f t="shared" si="197"/>
        <v>2.6796484698652936</v>
      </c>
      <c r="AO292" s="98">
        <f t="shared" si="198"/>
        <v>1.1883585112802668</v>
      </c>
      <c r="AP292" s="168" t="str">
        <f t="shared" si="199"/>
        <v>-2,63462020210624+1,15868011589963i</v>
      </c>
      <c r="AQ292" s="98">
        <f t="shared" si="200"/>
        <v>9.1822767670441472</v>
      </c>
      <c r="AR292" s="169">
        <f t="shared" si="201"/>
        <v>156.26057775105096</v>
      </c>
      <c r="AS292" s="168" t="str">
        <f t="shared" si="202"/>
        <v>4,44282574843403+10,3809256408786i</v>
      </c>
      <c r="AT292" s="190">
        <f t="shared" si="203"/>
        <v>21.055180796350704</v>
      </c>
      <c r="AU292" s="169">
        <f t="shared" si="204"/>
        <v>66.830056844191731</v>
      </c>
      <c r="AV292" s="225"/>
      <c r="AX292">
        <f t="shared" si="205"/>
        <v>0</v>
      </c>
      <c r="AY292">
        <f t="shared" si="206"/>
        <v>0</v>
      </c>
    </row>
    <row r="293" spans="14:51" x14ac:dyDescent="0.25">
      <c r="N293" s="170">
        <v>75</v>
      </c>
      <c r="O293" s="199">
        <f t="shared" si="207"/>
        <v>5623.4132519034993</v>
      </c>
      <c r="P293" s="189" t="str">
        <f t="shared" si="173"/>
        <v>120,833333333333</v>
      </c>
      <c r="Q293" s="160" t="str">
        <f t="shared" si="174"/>
        <v>1+31,5052115391652i</v>
      </c>
      <c r="R293" s="160">
        <f t="shared" si="182"/>
        <v>31.521077934099083</v>
      </c>
      <c r="S293" s="160">
        <f t="shared" si="183"/>
        <v>1.5390661993554886</v>
      </c>
      <c r="T293" s="160" t="str">
        <f t="shared" si="175"/>
        <v>1+0,00211997685123354i</v>
      </c>
      <c r="U293" s="160">
        <f t="shared" si="184"/>
        <v>1.0000022471484</v>
      </c>
      <c r="V293" s="160">
        <f t="shared" si="185"/>
        <v>2.1199736753034762E-3</v>
      </c>
      <c r="W293" s="98" t="str">
        <f t="shared" si="176"/>
        <v>1-0,0181470018465591i</v>
      </c>
      <c r="X293" s="160">
        <f t="shared" si="186"/>
        <v>1.0001646432843039</v>
      </c>
      <c r="Y293" s="160">
        <f t="shared" si="187"/>
        <v>-1.8145010221436986E-2</v>
      </c>
      <c r="Z293" s="98" t="str">
        <f t="shared" si="177"/>
        <v>0,999973865473883+0,00702900509434482i</v>
      </c>
      <c r="AA293" s="160">
        <f t="shared" si="188"/>
        <v>0.99999856927067432</v>
      </c>
      <c r="AB293" s="160">
        <f t="shared" si="189"/>
        <v>7.0290730327383436E-3</v>
      </c>
      <c r="AC293" s="171" t="str">
        <f t="shared" si="190"/>
        <v>0,0332639469537745-3,83391468936739i</v>
      </c>
      <c r="AD293" s="190">
        <f t="shared" si="191"/>
        <v>11.67317581011217</v>
      </c>
      <c r="AE293" s="169">
        <f t="shared" si="192"/>
        <v>-89.502900793611175</v>
      </c>
      <c r="AF293" s="98" t="str">
        <f t="shared" si="178"/>
        <v>-0,0000375877424711299</v>
      </c>
      <c r="AG293" s="98" t="str">
        <f t="shared" si="179"/>
        <v>0,0000357922758383263i</v>
      </c>
      <c r="AH293" s="98">
        <f t="shared" si="193"/>
        <v>3.57922758383263E-5</v>
      </c>
      <c r="AI293" s="98">
        <f t="shared" si="194"/>
        <v>1.5707963267948966</v>
      </c>
      <c r="AJ293" s="98" t="str">
        <f t="shared" si="180"/>
        <v>1+0,0326472249548303i</v>
      </c>
      <c r="AK293" s="98">
        <f t="shared" si="195"/>
        <v>1.0005327787220424</v>
      </c>
      <c r="AL293" s="98">
        <f t="shared" si="196"/>
        <v>3.2635633446553597E-2</v>
      </c>
      <c r="AM293" s="98" t="str">
        <f t="shared" si="181"/>
        <v>1+2,54397222148025i</v>
      </c>
      <c r="AN293" s="98">
        <f t="shared" si="197"/>
        <v>2.7334583705743825</v>
      </c>
      <c r="AO293" s="98">
        <f t="shared" si="198"/>
        <v>1.196264421584416</v>
      </c>
      <c r="AP293" s="168" t="str">
        <f t="shared" si="199"/>
        <v>-2,63449395193416+1,13617243914795i</v>
      </c>
      <c r="AQ293" s="98">
        <f t="shared" si="200"/>
        <v>9.1547614371880197</v>
      </c>
      <c r="AR293" s="169">
        <f t="shared" si="201"/>
        <v>156.67101848022216</v>
      </c>
      <c r="AS293" s="168" t="str">
        <f t="shared" si="202"/>
        <v>4,26835453703652+10,1382186411161i</v>
      </c>
      <c r="AT293" s="190">
        <f t="shared" si="203"/>
        <v>20.827937247300206</v>
      </c>
      <c r="AU293" s="169">
        <f t="shared" si="204"/>
        <v>67.168117686611069</v>
      </c>
      <c r="AV293" s="225"/>
      <c r="AX293">
        <f t="shared" si="205"/>
        <v>0</v>
      </c>
      <c r="AY293">
        <f t="shared" si="206"/>
        <v>0</v>
      </c>
    </row>
    <row r="294" spans="14:51" x14ac:dyDescent="0.25">
      <c r="N294" s="170">
        <v>76</v>
      </c>
      <c r="O294" s="199">
        <f t="shared" si="207"/>
        <v>5754.399373371567</v>
      </c>
      <c r="P294" s="189" t="str">
        <f t="shared" si="173"/>
        <v>120,833333333333</v>
      </c>
      <c r="Q294" s="160" t="str">
        <f t="shared" si="174"/>
        <v>1+32,2390621883505i</v>
      </c>
      <c r="R294" s="160">
        <f t="shared" si="182"/>
        <v>32.254567595680633</v>
      </c>
      <c r="S294" s="160">
        <f t="shared" si="183"/>
        <v>1.5397879969586714</v>
      </c>
      <c r="T294" s="160" t="str">
        <f t="shared" si="175"/>
        <v>1+0,00216935745566469i</v>
      </c>
      <c r="U294" s="160">
        <f t="shared" si="184"/>
        <v>1.0000023530531168</v>
      </c>
      <c r="V294" s="160">
        <f t="shared" si="185"/>
        <v>2.1693540525947468E-3</v>
      </c>
      <c r="W294" s="98" t="str">
        <f t="shared" si="176"/>
        <v>1-0,0185696998204898i</v>
      </c>
      <c r="X294" s="160">
        <f t="shared" si="186"/>
        <v>1.0001724020144842</v>
      </c>
      <c r="Y294" s="160">
        <f t="shared" si="187"/>
        <v>-1.8567565775589528E-2</v>
      </c>
      <c r="Z294" s="98" t="str">
        <f t="shared" si="177"/>
        <v>0,999972633791613+0,00719273165574876i</v>
      </c>
      <c r="AA294" s="160">
        <f t="shared" si="188"/>
        <v>0.9999985018592813</v>
      </c>
      <c r="AB294" s="160">
        <f t="shared" si="189"/>
        <v>7.1928044530063899E-3</v>
      </c>
      <c r="AC294" s="171" t="str">
        <f t="shared" si="190"/>
        <v>0,0277916757296562-3,74679666164329i</v>
      </c>
      <c r="AD294" s="190">
        <f t="shared" si="191"/>
        <v>11.473441428123559</v>
      </c>
      <c r="AE294" s="169">
        <f t="shared" si="192"/>
        <v>-89.575019231944424</v>
      </c>
      <c r="AF294" s="98" t="str">
        <f t="shared" si="178"/>
        <v>-0,0000375877424711299</v>
      </c>
      <c r="AG294" s="98" t="str">
        <f t="shared" si="179"/>
        <v>0,000036625985043139i</v>
      </c>
      <c r="AH294" s="98">
        <f t="shared" si="193"/>
        <v>3.6625985043138999E-5</v>
      </c>
      <c r="AI294" s="98">
        <f t="shared" si="194"/>
        <v>1.5707963267948966</v>
      </c>
      <c r="AJ294" s="98" t="str">
        <f t="shared" si="180"/>
        <v>1+0,0334076765136912i</v>
      </c>
      <c r="AK294" s="98">
        <f t="shared" si="195"/>
        <v>1.000557880809523</v>
      </c>
      <c r="AL294" s="98">
        <f t="shared" si="196"/>
        <v>3.3395256362793557E-2</v>
      </c>
      <c r="AM294" s="98" t="str">
        <f t="shared" si="181"/>
        <v>1+2,60322894679763i</v>
      </c>
      <c r="AN294" s="98">
        <f t="shared" si="197"/>
        <v>2.7886916196390557</v>
      </c>
      <c r="AO294" s="98">
        <f t="shared" si="198"/>
        <v>1.2040381446657218</v>
      </c>
      <c r="AP294" s="168" t="str">
        <f t="shared" si="199"/>
        <v>-2,63436176474266+1,11426678789162i</v>
      </c>
      <c r="AQ294" s="98">
        <f t="shared" si="200"/>
        <v>9.1283040704018852</v>
      </c>
      <c r="AR294" s="169">
        <f t="shared" si="201"/>
        <v>157.07289681676244</v>
      </c>
      <c r="AS294" s="168" t="str">
        <f t="shared" si="202"/>
        <v>4,10171775313198+9,90138520694394i</v>
      </c>
      <c r="AT294" s="190">
        <f t="shared" si="203"/>
        <v>20.601745498525446</v>
      </c>
      <c r="AU294" s="169">
        <f t="shared" si="204"/>
        <v>67.497877584818056</v>
      </c>
      <c r="AV294" s="225"/>
      <c r="AX294">
        <f t="shared" si="205"/>
        <v>0</v>
      </c>
      <c r="AY294">
        <f t="shared" si="206"/>
        <v>0</v>
      </c>
    </row>
    <row r="295" spans="14:51" x14ac:dyDescent="0.25">
      <c r="N295" s="170">
        <v>77</v>
      </c>
      <c r="O295" s="199">
        <f t="shared" si="207"/>
        <v>5888.4365535558973</v>
      </c>
      <c r="P295" s="189" t="str">
        <f t="shared" si="173"/>
        <v>120,833333333333</v>
      </c>
      <c r="Q295" s="160" t="str">
        <f t="shared" si="174"/>
        <v>1+32,9900064150425i</v>
      </c>
      <c r="R295" s="160">
        <f t="shared" si="182"/>
        <v>33.005159040134096</v>
      </c>
      <c r="S295" s="160">
        <f t="shared" si="183"/>
        <v>1.5404933956747342</v>
      </c>
      <c r="T295" s="160" t="str">
        <f t="shared" si="175"/>
        <v>1+0,00221988828213369i</v>
      </c>
      <c r="U295" s="160">
        <f t="shared" si="184"/>
        <v>1.0000024639489571</v>
      </c>
      <c r="V295" s="160">
        <f t="shared" si="185"/>
        <v>2.2198846356790342E-3</v>
      </c>
      <c r="W295" s="98" t="str">
        <f t="shared" si="176"/>
        <v>1-0,0190022436950644i</v>
      </c>
      <c r="X295" s="160">
        <f t="shared" si="186"/>
        <v>1.000180526337844</v>
      </c>
      <c r="Y295" s="160">
        <f t="shared" si="187"/>
        <v>-1.8999957047046E-2</v>
      </c>
      <c r="Z295" s="98" t="str">
        <f t="shared" si="177"/>
        <v>0,999971344061946+0,00736027189868367i</v>
      </c>
      <c r="AA295" s="160">
        <f t="shared" si="188"/>
        <v>0.9999984312725082</v>
      </c>
      <c r="AB295" s="160">
        <f t="shared" si="189"/>
        <v>7.3603499023027928E-3</v>
      </c>
      <c r="AC295" s="171" t="str">
        <f t="shared" si="190"/>
        <v>0,0225652358112653-3,66164996585448i</v>
      </c>
      <c r="AD295" s="190">
        <f t="shared" si="191"/>
        <v>11.273701445373796</v>
      </c>
      <c r="AE295" s="169">
        <f t="shared" si="192"/>
        <v>-89.646914254175783</v>
      </c>
      <c r="AF295" s="98" t="str">
        <f t="shared" si="178"/>
        <v>-0,0000375877424711299</v>
      </c>
      <c r="AG295" s="98" t="str">
        <f t="shared" si="179"/>
        <v>0,0000374791138300239i</v>
      </c>
      <c r="AH295" s="98">
        <f t="shared" si="193"/>
        <v>3.7479113830023903E-5</v>
      </c>
      <c r="AI295" s="98">
        <f t="shared" si="194"/>
        <v>1.5707963267948966</v>
      </c>
      <c r="AJ295" s="98" t="str">
        <f t="shared" si="180"/>
        <v>1+0,0341858412648426i</v>
      </c>
      <c r="AK295" s="98">
        <f t="shared" si="195"/>
        <v>1.0005841652469747</v>
      </c>
      <c r="AL295" s="98">
        <f t="shared" si="196"/>
        <v>3.4172533252983306E-2</v>
      </c>
      <c r="AM295" s="98" t="str">
        <f t="shared" si="181"/>
        <v>1+2,66386593856043i</v>
      </c>
      <c r="AN295" s="98">
        <f t="shared" si="197"/>
        <v>2.8453790149332376</v>
      </c>
      <c r="AO295" s="98">
        <f t="shared" si="198"/>
        <v>1.2116800430555978</v>
      </c>
      <c r="AP295" s="168" t="str">
        <f t="shared" si="199"/>
        <v>-2,63422336197763+1,09295151976531i</v>
      </c>
      <c r="AQ295" s="98">
        <f t="shared" si="200"/>
        <v>9.1028685496137687</v>
      </c>
      <c r="AR295" s="169">
        <f t="shared" si="201"/>
        <v>157.46621065664931</v>
      </c>
      <c r="AS295" s="168" t="str">
        <f t="shared" si="202"/>
        <v>3,94256402368668+9,67026659221225i</v>
      </c>
      <c r="AT295" s="190">
        <f t="shared" si="203"/>
        <v>20.37656999498757</v>
      </c>
      <c r="AU295" s="169">
        <f t="shared" si="204"/>
        <v>67.819296402473526</v>
      </c>
      <c r="AV295" s="225"/>
      <c r="AX295">
        <f t="shared" si="205"/>
        <v>0</v>
      </c>
      <c r="AY295">
        <f t="shared" si="206"/>
        <v>0</v>
      </c>
    </row>
    <row r="296" spans="14:51" x14ac:dyDescent="0.25">
      <c r="N296" s="170">
        <v>78</v>
      </c>
      <c r="O296" s="199">
        <f t="shared" si="207"/>
        <v>6025.595860743585</v>
      </c>
      <c r="P296" s="189" t="str">
        <f t="shared" si="173"/>
        <v>120,833333333333</v>
      </c>
      <c r="Q296" s="160" t="str">
        <f t="shared" si="174"/>
        <v>1+33,7584423798101i</v>
      </c>
      <c r="R296" s="160">
        <f t="shared" si="182"/>
        <v>33.773250242032653</v>
      </c>
      <c r="S296" s="160">
        <f t="shared" si="183"/>
        <v>1.5411827667058278</v>
      </c>
      <c r="T296" s="160" t="str">
        <f t="shared" si="175"/>
        <v>1+0,00227159612275357i</v>
      </c>
      <c r="U296" s="160">
        <f t="shared" si="184"/>
        <v>1.0000025800711441</v>
      </c>
      <c r="V296" s="160">
        <f t="shared" si="185"/>
        <v>2.2715922155075552E-3</v>
      </c>
      <c r="W296" s="98" t="str">
        <f t="shared" si="176"/>
        <v>1-0,0194448628107706i</v>
      </c>
      <c r="X296" s="160">
        <f t="shared" si="186"/>
        <v>1.0001890334780368</v>
      </c>
      <c r="Y296" s="160">
        <f t="shared" si="187"/>
        <v>-1.9442412648284342E-2</v>
      </c>
      <c r="Z296" s="98" t="str">
        <f t="shared" si="177"/>
        <v>0,999969993549193+0,00753171465520396i</v>
      </c>
      <c r="AA296" s="160">
        <f t="shared" si="188"/>
        <v>0.99999835736086118</v>
      </c>
      <c r="AB296" s="160">
        <f t="shared" si="189"/>
        <v>7.5317982375340958E-3</v>
      </c>
      <c r="AC296" s="171" t="str">
        <f t="shared" si="190"/>
        <v>0,0175736037024033-3,57843047339699i</v>
      </c>
      <c r="AD296" s="190">
        <f t="shared" si="191"/>
        <v>11.073956412110617</v>
      </c>
      <c r="AE296" s="169">
        <f t="shared" si="192"/>
        <v>-89.71862378326918</v>
      </c>
      <c r="AF296" s="98" t="str">
        <f t="shared" si="178"/>
        <v>-0,0000375877424711299</v>
      </c>
      <c r="AG296" s="98" t="str">
        <f t="shared" si="179"/>
        <v>0,0000383521145391562i</v>
      </c>
      <c r="AH296" s="98">
        <f t="shared" si="193"/>
        <v>3.8352114539156203E-5</v>
      </c>
      <c r="AI296" s="98">
        <f t="shared" si="194"/>
        <v>1.5707963267948966</v>
      </c>
      <c r="AJ296" s="98" t="str">
        <f t="shared" si="180"/>
        <v>1+0,0349821318015357i</v>
      </c>
      <c r="AK296" s="98">
        <f t="shared" si="195"/>
        <v>1.0006116876917739</v>
      </c>
      <c r="AL296" s="98">
        <f t="shared" si="196"/>
        <v>3.4967872480678591E-2</v>
      </c>
      <c r="AM296" s="98" t="str">
        <f t="shared" si="181"/>
        <v>1+2,72591534730428i</v>
      </c>
      <c r="AN296" s="98">
        <f t="shared" si="197"/>
        <v>2.9035520454555339</v>
      </c>
      <c r="AO296" s="98">
        <f t="shared" si="198"/>
        <v>1.219190597371723</v>
      </c>
      <c r="AP296" s="168" t="str">
        <f t="shared" si="199"/>
        <v>-2,63407845207725+1,07221530345928i</v>
      </c>
      <c r="AQ296" s="98">
        <f t="shared" si="200"/>
        <v>9.0784194526826543</v>
      </c>
      <c r="AR296" s="169">
        <f t="shared" si="201"/>
        <v>157.85096413973875</v>
      </c>
      <c r="AS296" s="168" t="str">
        <f t="shared" si="202"/>
        <v>3,79055766510344+9,44470928905825i</v>
      </c>
      <c r="AT296" s="190">
        <f t="shared" si="203"/>
        <v>20.152375864793271</v>
      </c>
      <c r="AU296" s="169">
        <f t="shared" si="204"/>
        <v>68.132340356469612</v>
      </c>
      <c r="AV296" s="225"/>
      <c r="AX296">
        <f t="shared" si="205"/>
        <v>0</v>
      </c>
      <c r="AY296">
        <f t="shared" si="206"/>
        <v>0</v>
      </c>
    </row>
    <row r="297" spans="14:51" x14ac:dyDescent="0.25">
      <c r="N297" s="170">
        <v>79</v>
      </c>
      <c r="O297" s="199">
        <f t="shared" si="207"/>
        <v>6165.9500186148289</v>
      </c>
      <c r="P297" s="189" t="str">
        <f t="shared" si="173"/>
        <v>120,833333333333</v>
      </c>
      <c r="Q297" s="160" t="str">
        <f t="shared" si="174"/>
        <v>1+34,5447775175734i</v>
      </c>
      <c r="R297" s="160">
        <f t="shared" si="182"/>
        <v>34.559248454482407</v>
      </c>
      <c r="S297" s="160">
        <f t="shared" si="183"/>
        <v>1.5418564729432063</v>
      </c>
      <c r="T297" s="160" t="str">
        <f t="shared" si="175"/>
        <v>1+0,00232450839370586i</v>
      </c>
      <c r="U297" s="160">
        <f t="shared" si="184"/>
        <v>1.0000027016659867</v>
      </c>
      <c r="V297" s="160">
        <f t="shared" si="185"/>
        <v>2.3245042070169355E-3</v>
      </c>
      <c r="W297" s="98" t="str">
        <f t="shared" si="176"/>
        <v>1-0,0198977918501222i</v>
      </c>
      <c r="X297" s="160">
        <f t="shared" si="186"/>
        <v>1.0001979414698425</v>
      </c>
      <c r="Y297" s="160">
        <f t="shared" si="187"/>
        <v>-1.9895166481777901E-2</v>
      </c>
      <c r="Z297" s="98" t="str">
        <f t="shared" si="177"/>
        <v>0,999968579388734+0,00770715082652847i</v>
      </c>
      <c r="AA297" s="160">
        <f t="shared" si="188"/>
        <v>0.99999827996781343</v>
      </c>
      <c r="AB297" s="160">
        <f t="shared" si="189"/>
        <v>7.7072403865486167E-3</v>
      </c>
      <c r="AC297" s="171" t="str">
        <f t="shared" si="190"/>
        <v>0,0128062484774933-3,49709500979557i</v>
      </c>
      <c r="AD297" s="190">
        <f t="shared" si="191"/>
        <v>10.874206867951751</v>
      </c>
      <c r="AE297" s="169">
        <f t="shared" si="192"/>
        <v>-89.790185652008276</v>
      </c>
      <c r="AF297" s="98" t="str">
        <f t="shared" si="178"/>
        <v>-0,0000375877424711299</v>
      </c>
      <c r="AG297" s="98" t="str">
        <f t="shared" si="179"/>
        <v>0,0000392454500470673i</v>
      </c>
      <c r="AH297" s="98">
        <f t="shared" si="193"/>
        <v>3.9245450047067302E-5</v>
      </c>
      <c r="AI297" s="98">
        <f t="shared" si="194"/>
        <v>1.5707963267948966</v>
      </c>
      <c r="AJ297" s="98" t="str">
        <f t="shared" si="180"/>
        <v>1+0,0357969703275532i</v>
      </c>
      <c r="AK297" s="98">
        <f t="shared" si="195"/>
        <v>1.0006405064180801</v>
      </c>
      <c r="AL297" s="98">
        <f t="shared" si="196"/>
        <v>3.5781691718139143E-2</v>
      </c>
      <c r="AM297" s="98" t="str">
        <f t="shared" si="181"/>
        <v>1+2,78941007244703i</v>
      </c>
      <c r="AN297" s="98">
        <f t="shared" si="197"/>
        <v>2.9632429114517334</v>
      </c>
      <c r="AO297" s="98">
        <f t="shared" si="198"/>
        <v>1.2265703995503887</v>
      </c>
      <c r="AP297" s="168" t="str">
        <f t="shared" si="199"/>
        <v>-2,6339267298706+1,05204711257111i</v>
      </c>
      <c r="AQ297" s="98">
        <f t="shared" si="200"/>
        <v>9.0549220752737192</v>
      </c>
      <c r="AR297" s="169">
        <f t="shared" si="201"/>
        <v>158.22716725062475</v>
      </c>
      <c r="AS297" s="168" t="str">
        <f t="shared" si="202"/>
        <v>3,64537798726803+9,22456479993125i</v>
      </c>
      <c r="AT297" s="190">
        <f t="shared" si="203"/>
        <v>19.929128943225464</v>
      </c>
      <c r="AU297" s="169">
        <f t="shared" si="204"/>
        <v>68.436981598616498</v>
      </c>
      <c r="AV297" s="225"/>
      <c r="AX297">
        <f t="shared" si="205"/>
        <v>0</v>
      </c>
      <c r="AY297">
        <f t="shared" si="206"/>
        <v>0</v>
      </c>
    </row>
    <row r="298" spans="14:51" x14ac:dyDescent="0.25">
      <c r="N298" s="170">
        <v>80</v>
      </c>
      <c r="O298" s="199">
        <f t="shared" si="207"/>
        <v>6309.5734448019384</v>
      </c>
      <c r="P298" s="189" t="str">
        <f t="shared" si="173"/>
        <v>120,833333333333</v>
      </c>
      <c r="Q298" s="160" t="str">
        <f t="shared" si="174"/>
        <v>1+35,3494287536305i</v>
      </c>
      <c r="R298" s="160">
        <f t="shared" si="182"/>
        <v>35.363570425057461</v>
      </c>
      <c r="S298" s="160">
        <f t="shared" si="183"/>
        <v>1.5425148691471795</v>
      </c>
      <c r="T298" s="160" t="str">
        <f t="shared" si="175"/>
        <v>1+0,002378653149777i</v>
      </c>
      <c r="U298" s="160">
        <f t="shared" si="184"/>
        <v>1.0000028289914018</v>
      </c>
      <c r="V298" s="160">
        <f t="shared" si="185"/>
        <v>2.3786486636596781E-3</v>
      </c>
      <c r="W298" s="98" t="str">
        <f t="shared" si="176"/>
        <v>1-0,0203612709620911i</v>
      </c>
      <c r="X298" s="160">
        <f t="shared" si="186"/>
        <v>1.0002072691973358</v>
      </c>
      <c r="Y298" s="160">
        <f t="shared" si="187"/>
        <v>-2.0358457860710617E-2</v>
      </c>
      <c r="Z298" s="98" t="str">
        <f t="shared" si="177"/>
        <v>0,999967098580946+0,0078866734312374i</v>
      </c>
      <c r="AA298" s="160">
        <f t="shared" si="188"/>
        <v>0.99999819892948139</v>
      </c>
      <c r="AB298" s="160">
        <f t="shared" si="189"/>
        <v>7.8867693964604513E-3</v>
      </c>
      <c r="AC298" s="171" t="str">
        <f t="shared" si="190"/>
        <v>0,00825310992574207-3,41760133630915i</v>
      </c>
      <c r="AD298" s="190">
        <f t="shared" si="191"/>
        <v>10.674453343020092</v>
      </c>
      <c r="AE298" s="169">
        <f t="shared" si="192"/>
        <v>-89.861637622159478</v>
      </c>
      <c r="AF298" s="98" t="str">
        <f t="shared" si="178"/>
        <v>-0,0000375877424711299</v>
      </c>
      <c r="AG298" s="98" t="str">
        <f t="shared" si="179"/>
        <v>0,0000401595940120684i</v>
      </c>
      <c r="AH298" s="98">
        <f t="shared" si="193"/>
        <v>4.0159594012068401E-5</v>
      </c>
      <c r="AI298" s="98">
        <f t="shared" si="194"/>
        <v>1.5707963267948966</v>
      </c>
      <c r="AJ298" s="98" t="str">
        <f t="shared" si="180"/>
        <v>1+0,0366307888810672i</v>
      </c>
      <c r="AK298" s="98">
        <f t="shared" si="195"/>
        <v>1.0006706824395573</v>
      </c>
      <c r="AL298" s="98">
        <f t="shared" si="196"/>
        <v>3.6614418148682597E-2</v>
      </c>
      <c r="AM298" s="98" t="str">
        <f t="shared" si="181"/>
        <v>1+2,8543837797324i</v>
      </c>
      <c r="AN298" s="98">
        <f t="shared" si="197"/>
        <v>3.024484544843868</v>
      </c>
      <c r="AO298" s="98">
        <f t="shared" si="198"/>
        <v>1.2338201461696892</v>
      </c>
      <c r="AP298" s="168" t="str">
        <f t="shared" si="199"/>
        <v>-2,63376787594882+1,03243621960927i</v>
      </c>
      <c r="AQ298" s="98">
        <f t="shared" si="200"/>
        <v>9.0323424499148501</v>
      </c>
      <c r="AR298" s="169">
        <f t="shared" si="201"/>
        <v>158.59483542449081</v>
      </c>
      <c r="AS298" s="168" t="str">
        <f t="shared" si="202"/>
        <v>3,50671862799152+9,00968942198255i</v>
      </c>
      <c r="AT298" s="190">
        <f t="shared" si="203"/>
        <v>19.70679579293494</v>
      </c>
      <c r="AU298" s="169">
        <f t="shared" si="204"/>
        <v>68.733197802331318</v>
      </c>
      <c r="AV298" s="225"/>
      <c r="AX298">
        <f t="shared" si="205"/>
        <v>0</v>
      </c>
      <c r="AY298">
        <f t="shared" si="206"/>
        <v>0</v>
      </c>
    </row>
    <row r="299" spans="14:51" x14ac:dyDescent="0.25">
      <c r="N299" s="170">
        <v>81</v>
      </c>
      <c r="O299" s="199">
        <f t="shared" si="207"/>
        <v>6456.5422903465615</v>
      </c>
      <c r="P299" s="189" t="str">
        <f t="shared" si="173"/>
        <v>120,833333333333</v>
      </c>
      <c r="Q299" s="160" t="str">
        <f t="shared" si="174"/>
        <v>1+36,172822724718i</v>
      </c>
      <c r="R299" s="160">
        <f t="shared" si="182"/>
        <v>36.186642616770563</v>
      </c>
      <c r="S299" s="160">
        <f t="shared" si="183"/>
        <v>1.5431583021235815</v>
      </c>
      <c r="T299" s="160" t="str">
        <f t="shared" si="175"/>
        <v>1+0,00243405909923335i</v>
      </c>
      <c r="U299" s="160">
        <f t="shared" si="184"/>
        <v>1.0000029623174616</v>
      </c>
      <c r="V299" s="160">
        <f t="shared" si="185"/>
        <v>2.4340542922728029E-3</v>
      </c>
      <c r="W299" s="98" t="str">
        <f t="shared" si="176"/>
        <v>1-0,0208355458894375i</v>
      </c>
      <c r="X299" s="160">
        <f t="shared" si="186"/>
        <v>1.0002170364338485</v>
      </c>
      <c r="Y299" s="160">
        <f t="shared" si="187"/>
        <v>-2.0832531632325159E-2</v>
      </c>
      <c r="Z299" s="98" t="str">
        <f t="shared" si="177"/>
        <v>0,999965547984837+0,00807037765459206i</v>
      </c>
      <c r="AA299" s="160">
        <f t="shared" si="188"/>
        <v>0.9999981140742733</v>
      </c>
      <c r="AB299" s="160">
        <f t="shared" si="189"/>
        <v>8.0704804831054373E-3</v>
      </c>
      <c r="AC299" s="171" t="str">
        <f t="shared" si="190"/>
        <v>0,00390457765151977-3,3399081317342i</v>
      </c>
      <c r="AD299" s="190">
        <f t="shared" si="191"/>
        <v>10.47469635905826</v>
      </c>
      <c r="AE299" s="169">
        <f t="shared" si="192"/>
        <v>-89.933017403631936</v>
      </c>
      <c r="AF299" s="98" t="str">
        <f t="shared" si="178"/>
        <v>-0,0000375877424711299</v>
      </c>
      <c r="AG299" s="98" t="str">
        <f t="shared" si="179"/>
        <v>0,0000410950311253897i</v>
      </c>
      <c r="AH299" s="98">
        <f t="shared" si="193"/>
        <v>4.1095031125389699E-5</v>
      </c>
      <c r="AI299" s="98">
        <f t="shared" si="194"/>
        <v>1.5707963267948966</v>
      </c>
      <c r="AJ299" s="98" t="str">
        <f t="shared" si="180"/>
        <v>1+0,0374840295637119i</v>
      </c>
      <c r="AK299" s="98">
        <f t="shared" si="195"/>
        <v>1.0007022796378218</v>
      </c>
      <c r="AL299" s="98">
        <f t="shared" si="196"/>
        <v>3.7466488672725243E-2</v>
      </c>
      <c r="AM299" s="98" t="str">
        <f t="shared" si="181"/>
        <v>1+2,92087091908002i</v>
      </c>
      <c r="AN299" s="98">
        <f t="shared" si="197"/>
        <v>3.0873106299702591</v>
      </c>
      <c r="AO299" s="98">
        <f t="shared" si="198"/>
        <v>1.2409406318862037</v>
      </c>
      <c r="AP299" s="168" t="str">
        <f t="shared" si="199"/>
        <v>-2,63360155600808+1,01337219014453i</v>
      </c>
      <c r="AQ299" s="98">
        <f t="shared" si="200"/>
        <v>9.010647361433989</v>
      </c>
      <c r="AR299" s="169">
        <f t="shared" si="201"/>
        <v>158.95398915925514</v>
      </c>
      <c r="AS299" s="168" t="str">
        <f t="shared" si="202"/>
        <v>3,37428691655841+8,79994404306554i</v>
      </c>
      <c r="AT299" s="190">
        <f t="shared" si="203"/>
        <v>19.485343720492249</v>
      </c>
      <c r="AU299" s="169">
        <f t="shared" si="204"/>
        <v>69.02097175562325</v>
      </c>
      <c r="AV299" s="225"/>
      <c r="AX299">
        <f t="shared" si="205"/>
        <v>0</v>
      </c>
      <c r="AY299">
        <f t="shared" si="206"/>
        <v>0</v>
      </c>
    </row>
    <row r="300" spans="14:51" x14ac:dyDescent="0.25">
      <c r="N300" s="170">
        <v>82</v>
      </c>
      <c r="O300" s="199">
        <f t="shared" si="207"/>
        <v>6606.9344800759654</v>
      </c>
      <c r="P300" s="189" t="str">
        <f t="shared" si="173"/>
        <v>120,833333333333</v>
      </c>
      <c r="Q300" s="160" t="str">
        <f t="shared" si="174"/>
        <v>1+37,0153960052179i</v>
      </c>
      <c r="R300" s="160">
        <f t="shared" si="182"/>
        <v>37.02890143419193</v>
      </c>
      <c r="S300" s="160">
        <f t="shared" si="183"/>
        <v>1.543787110896792</v>
      </c>
      <c r="T300" s="160" t="str">
        <f t="shared" si="175"/>
        <v>1+0,00249075561904269i</v>
      </c>
      <c r="U300" s="160">
        <f t="shared" si="184"/>
        <v>1.000003101926966</v>
      </c>
      <c r="V300" s="160">
        <f t="shared" si="185"/>
        <v>2.4907504682925271E-3</v>
      </c>
      <c r="W300" s="98" t="str">
        <f t="shared" si="176"/>
        <v>1-0,0213208680990054i</v>
      </c>
      <c r="X300" s="160">
        <f t="shared" si="186"/>
        <v>1.0002272638838112</v>
      </c>
      <c r="Y300" s="160">
        <f t="shared" si="187"/>
        <v>-2.1317638303952117E-2</v>
      </c>
      <c r="Z300" s="98" t="str">
        <f t="shared" si="177"/>
        <v>0,999963924311385+0,00825836089900323i</v>
      </c>
      <c r="AA300" s="160">
        <f t="shared" si="188"/>
        <v>0.99999802522253201</v>
      </c>
      <c r="AB300" s="160">
        <f t="shared" si="189"/>
        <v>8.2584710816554462E-3</v>
      </c>
      <c r="AC300" s="171" t="str">
        <f t="shared" si="190"/>
        <v>-0,000248528909659875-3,26397497441655i</v>
      </c>
      <c r="AD300" s="190">
        <f t="shared" si="191"/>
        <v>10.274936430526209</v>
      </c>
      <c r="AE300" s="169">
        <f t="shared" si="192"/>
        <v>-90.004362673640145</v>
      </c>
      <c r="AF300" s="98" t="str">
        <f t="shared" si="178"/>
        <v>-0,0000375877424711299</v>
      </c>
      <c r="AG300" s="98" t="str">
        <f t="shared" si="179"/>
        <v>0,0000420522573681708i</v>
      </c>
      <c r="AH300" s="98">
        <f t="shared" si="193"/>
        <v>4.2052257368170798E-5</v>
      </c>
      <c r="AI300" s="98">
        <f t="shared" si="194"/>
        <v>1.5707963267948966</v>
      </c>
      <c r="AJ300" s="98" t="str">
        <f t="shared" si="180"/>
        <v>1+0,038357144774991i</v>
      </c>
      <c r="AK300" s="98">
        <f t="shared" si="195"/>
        <v>1.0007353648968791</v>
      </c>
      <c r="AL300" s="98">
        <f t="shared" si="196"/>
        <v>3.8338350117521562E-2</v>
      </c>
      <c r="AM300" s="98" t="str">
        <f t="shared" si="181"/>
        <v>1+2,98890674285123i</v>
      </c>
      <c r="AN300" s="98">
        <f t="shared" si="197"/>
        <v>3.1517556246418512</v>
      </c>
      <c r="AO300" s="98">
        <f t="shared" si="198"/>
        <v>1.2479327430050859</v>
      </c>
      <c r="AP300" s="168" t="str">
        <f t="shared" si="199"/>
        <v>-2,63342742016271+0,994844877105374i</v>
      </c>
      <c r="AQ300" s="98">
        <f t="shared" si="200"/>
        <v>8.989804358978601</v>
      </c>
      <c r="AR300" s="169">
        <f t="shared" si="201"/>
        <v>159.30465363514656</v>
      </c>
      <c r="AS300" s="168" t="str">
        <f t="shared" si="202"/>
        <v>3,24780326514385+8,59519394864084i</v>
      </c>
      <c r="AT300" s="190">
        <f t="shared" si="203"/>
        <v>19.264740789504813</v>
      </c>
      <c r="AU300" s="169">
        <f t="shared" si="204"/>
        <v>69.300290961506434</v>
      </c>
      <c r="AV300" s="225"/>
      <c r="AX300">
        <f t="shared" si="205"/>
        <v>0</v>
      </c>
      <c r="AY300">
        <f t="shared" si="206"/>
        <v>0</v>
      </c>
    </row>
    <row r="301" spans="14:51" x14ac:dyDescent="0.25">
      <c r="N301" s="170">
        <v>83</v>
      </c>
      <c r="O301" s="199">
        <f t="shared" si="207"/>
        <v>6760.8297539198229</v>
      </c>
      <c r="P301" s="189" t="str">
        <f t="shared" si="173"/>
        <v>120,833333333333</v>
      </c>
      <c r="Q301" s="160" t="str">
        <f t="shared" si="174"/>
        <v>1+37,8775953386365i</v>
      </c>
      <c r="R301" s="160">
        <f t="shared" si="182"/>
        <v>37.890793454842004</v>
      </c>
      <c r="S301" s="160">
        <f t="shared" si="183"/>
        <v>1.544401626879357</v>
      </c>
      <c r="T301" s="160" t="str">
        <f t="shared" si="175"/>
        <v>1+0,00254877277045029i</v>
      </c>
      <c r="U301" s="160">
        <f t="shared" si="184"/>
        <v>1.0000032481160426</v>
      </c>
      <c r="V301" s="160">
        <f t="shared" si="185"/>
        <v>2.5487672513230222E-3</v>
      </c>
      <c r="W301" s="98" t="str">
        <f t="shared" si="176"/>
        <v>1-0,0218174949150545i</v>
      </c>
      <c r="X301" s="160">
        <f t="shared" si="186"/>
        <v>1.0002379732265561</v>
      </c>
      <c r="Y301" s="160">
        <f t="shared" si="187"/>
        <v>-2.1814034171771177E-2</v>
      </c>
      <c r="Z301" s="98" t="str">
        <f t="shared" si="177"/>
        <v>0,999962224116561+0,00845072283567539i</v>
      </c>
      <c r="AA301" s="160">
        <f t="shared" si="188"/>
        <v>0.99999793218615451</v>
      </c>
      <c r="AB301" s="160">
        <f t="shared" si="189"/>
        <v>8.4508408984189706E-3</v>
      </c>
      <c r="AC301" s="171" t="str">
        <f t="shared" si="190"/>
        <v>-0,0042149795985901-3,18976232448051i</v>
      </c>
      <c r="AD301" s="190">
        <f t="shared" si="191"/>
        <v>10.075174065684322</v>
      </c>
      <c r="AE301" s="169">
        <f t="shared" si="192"/>
        <v>-90.075711095875889</v>
      </c>
      <c r="AF301" s="98" t="str">
        <f t="shared" si="178"/>
        <v>-0,0000375877424711299</v>
      </c>
      <c r="AG301" s="98" t="str">
        <f t="shared" si="179"/>
        <v>0,0000430317802744358i</v>
      </c>
      <c r="AH301" s="98">
        <f t="shared" si="193"/>
        <v>4.3031780274435797E-5</v>
      </c>
      <c r="AI301" s="98">
        <f t="shared" si="194"/>
        <v>1.5707963267948966</v>
      </c>
      <c r="AJ301" s="98" t="str">
        <f t="shared" si="180"/>
        <v>1+0,0392505974521466i</v>
      </c>
      <c r="AK301" s="98">
        <f t="shared" si="195"/>
        <v>1.0007700082438276</v>
      </c>
      <c r="AL301" s="98">
        <f t="shared" si="196"/>
        <v>3.9230459450613632E-2</v>
      </c>
      <c r="AM301" s="98" t="str">
        <f t="shared" si="181"/>
        <v>1+3,05852732454035i</v>
      </c>
      <c r="AN301" s="98">
        <f t="shared" si="197"/>
        <v>3.2178547815213712</v>
      </c>
      <c r="AO301" s="98">
        <f t="shared" si="198"/>
        <v>1.2547974512009075</v>
      </c>
      <c r="AP301" s="168" t="str">
        <f t="shared" si="199"/>
        <v>-2,63324510222757+0,976844415213685i</v>
      </c>
      <c r="AQ301" s="98">
        <f t="shared" si="200"/>
        <v>8.9697817648226739</v>
      </c>
      <c r="AR301" s="169">
        <f t="shared" si="201"/>
        <v>159.6468583427056</v>
      </c>
      <c r="AS301" s="168" t="str">
        <f t="shared" si="202"/>
        <v>3,12700058691179+8,39530863892721i</v>
      </c>
      <c r="AT301" s="190">
        <f t="shared" si="203"/>
        <v>19.044955830506996</v>
      </c>
      <c r="AU301" s="169">
        <f t="shared" si="204"/>
        <v>69.571147246829668</v>
      </c>
      <c r="AV301" s="225"/>
      <c r="AX301">
        <f t="shared" si="205"/>
        <v>0</v>
      </c>
      <c r="AY301">
        <f t="shared" si="206"/>
        <v>0</v>
      </c>
    </row>
    <row r="302" spans="14:51" x14ac:dyDescent="0.25">
      <c r="N302" s="170">
        <v>84</v>
      </c>
      <c r="O302" s="199">
        <f t="shared" si="207"/>
        <v>6918.3097091893687</v>
      </c>
      <c r="P302" s="189" t="str">
        <f t="shared" si="173"/>
        <v>120,833333333333</v>
      </c>
      <c r="Q302" s="160" t="str">
        <f t="shared" si="174"/>
        <v>1+38,7598778744728i</v>
      </c>
      <c r="R302" s="160">
        <f t="shared" si="182"/>
        <v>38.772775665975296</v>
      </c>
      <c r="S302" s="160">
        <f t="shared" si="183"/>
        <v>1.5450021740382442</v>
      </c>
      <c r="T302" s="160" t="str">
        <f t="shared" si="175"/>
        <v>1+0,00260814131491779i</v>
      </c>
      <c r="U302" s="160">
        <f t="shared" si="184"/>
        <v>1.0000034011947752</v>
      </c>
      <c r="V302" s="160">
        <f t="shared" si="185"/>
        <v>2.6081354010674611E-3</v>
      </c>
      <c r="W302" s="98" t="str">
        <f t="shared" si="176"/>
        <v>1-0,0223256896556963i</v>
      </c>
      <c r="X302" s="160">
        <f t="shared" si="186"/>
        <v>1.0002491871621804</v>
      </c>
      <c r="Y302" s="160">
        <f t="shared" si="187"/>
        <v>-2.232198145235036E-2</v>
      </c>
      <c r="Z302" s="98" t="str">
        <f t="shared" si="177"/>
        <v>0,999960443794023+0,00864756545745356i</v>
      </c>
      <c r="AA302" s="160">
        <f t="shared" si="188"/>
        <v>0.99999783476819604</v>
      </c>
      <c r="AB302" s="160">
        <f t="shared" si="189"/>
        <v>8.6476919638555309E-3</v>
      </c>
      <c r="AC302" s="171" t="str">
        <f t="shared" si="190"/>
        <v>-0,00800315180069615-3,11723150628252i</v>
      </c>
      <c r="AD302" s="190">
        <f t="shared" si="191"/>
        <v>9.875409767662882</v>
      </c>
      <c r="AE302" s="169">
        <f t="shared" si="192"/>
        <v>-90.147100339695356</v>
      </c>
      <c r="AF302" s="98" t="str">
        <f t="shared" si="178"/>
        <v>-0,0000375877424711299</v>
      </c>
      <c r="AG302" s="98" t="str">
        <f t="shared" si="179"/>
        <v>0,0000440341192001954i</v>
      </c>
      <c r="AH302" s="98">
        <f t="shared" si="193"/>
        <v>4.4034119200195401E-5</v>
      </c>
      <c r="AI302" s="98">
        <f t="shared" si="194"/>
        <v>1.5707963267948966</v>
      </c>
      <c r="AJ302" s="98" t="str">
        <f t="shared" si="180"/>
        <v>1+0,0401648613156144i</v>
      </c>
      <c r="AK302" s="98">
        <f t="shared" si="195"/>
        <v>1.0008062829961164</v>
      </c>
      <c r="AL302" s="98">
        <f t="shared" si="196"/>
        <v>4.0143283996991415E-2</v>
      </c>
      <c r="AM302" s="98" t="str">
        <f t="shared" si="181"/>
        <v>1+3,12976957790135i</v>
      </c>
      <c r="AN302" s="98">
        <f t="shared" si="197"/>
        <v>3.2856441698328793</v>
      </c>
      <c r="AO302" s="98">
        <f t="shared" si="198"/>
        <v>1.2615358074041447</v>
      </c>
      <c r="AP302" s="168" t="str">
        <f t="shared" si="199"/>
        <v>-2,63305421896808+0,959361215556793i</v>
      </c>
      <c r="AQ302" s="98">
        <f t="shared" si="200"/>
        <v>8.9505486801647454</v>
      </c>
      <c r="AR302" s="169">
        <f t="shared" si="201"/>
        <v>159.98063672006344</v>
      </c>
      <c r="AS302" s="168" t="str">
        <f t="shared" si="202"/>
        <v>3,011623739653+8,20016165567761i</v>
      </c>
      <c r="AT302" s="190">
        <f t="shared" si="203"/>
        <v>18.825958447827624</v>
      </c>
      <c r="AU302" s="169">
        <f t="shared" si="204"/>
        <v>69.833536380368088</v>
      </c>
      <c r="AV302" s="225"/>
      <c r="AX302">
        <f t="shared" si="205"/>
        <v>0</v>
      </c>
      <c r="AY302">
        <f t="shared" si="206"/>
        <v>0</v>
      </c>
    </row>
    <row r="303" spans="14:51" x14ac:dyDescent="0.25">
      <c r="N303" s="170">
        <v>85</v>
      </c>
      <c r="O303" s="199">
        <f t="shared" si="207"/>
        <v>7079.4578438413828</v>
      </c>
      <c r="P303" s="189" t="str">
        <f t="shared" si="173"/>
        <v>120,833333333333</v>
      </c>
      <c r="Q303" s="160" t="str">
        <f t="shared" si="174"/>
        <v>1+39,6627114106059i</v>
      </c>
      <c r="R303" s="160">
        <f t="shared" si="182"/>
        <v>39.675315706885158</v>
      </c>
      <c r="S303" s="160">
        <f t="shared" si="183"/>
        <v>1.5455890690577829</v>
      </c>
      <c r="T303" s="160" t="str">
        <f t="shared" si="175"/>
        <v>1+0,00266889273043328i</v>
      </c>
      <c r="U303" s="160">
        <f t="shared" si="184"/>
        <v>1.0000035614878613</v>
      </c>
      <c r="V303" s="160">
        <f t="shared" si="185"/>
        <v>2.6688863936297027E-3</v>
      </c>
      <c r="W303" s="98" t="str">
        <f t="shared" si="176"/>
        <v>1-0,0228457217725089i</v>
      </c>
      <c r="X303" s="160">
        <f t="shared" si="186"/>
        <v>1.0002609294595619</v>
      </c>
      <c r="Y303" s="160">
        <f t="shared" si="187"/>
        <v>-2.2841748417014581E-2</v>
      </c>
      <c r="Z303" s="98" t="str">
        <f t="shared" si="177"/>
        <v>0,999958579567469+0,00884899313290134i</v>
      </c>
      <c r="AA303" s="160">
        <f t="shared" si="188"/>
        <v>0.99999773276245796</v>
      </c>
      <c r="AB303" s="160">
        <f t="shared" si="189"/>
        <v>8.8491286868332235E-3</v>
      </c>
      <c r="AC303" s="171" t="str">
        <f t="shared" si="190"/>
        <v>-0,0116210479111789-3,04634469109656i</v>
      </c>
      <c r="AD303" s="190">
        <f t="shared" si="191"/>
        <v>9.6756440355215325</v>
      </c>
      <c r="AE303" s="169">
        <f t="shared" si="192"/>
        <v>-90.21856809932828</v>
      </c>
      <c r="AF303" s="98" t="str">
        <f t="shared" si="178"/>
        <v>-0,0000375877424711299</v>
      </c>
      <c r="AG303" s="98" t="str">
        <f t="shared" si="179"/>
        <v>0,0000450598055988153i</v>
      </c>
      <c r="AH303" s="98">
        <f t="shared" si="193"/>
        <v>4.5059805598815301E-5</v>
      </c>
      <c r="AI303" s="98">
        <f t="shared" si="194"/>
        <v>1.5707963267948966</v>
      </c>
      <c r="AJ303" s="98" t="str">
        <f t="shared" si="180"/>
        <v>1+0,0411004211201966i</v>
      </c>
      <c r="AK303" s="98">
        <f t="shared" si="195"/>
        <v>1.0008442659156607</v>
      </c>
      <c r="AL303" s="98">
        <f t="shared" si="196"/>
        <v>4.1077301659963178E-2</v>
      </c>
      <c r="AM303" s="98" t="str">
        <f t="shared" si="181"/>
        <v>1+3,20267127651994i</v>
      </c>
      <c r="AN303" s="98">
        <f t="shared" si="197"/>
        <v>3.3551606974101649</v>
      </c>
      <c r="AO303" s="98">
        <f t="shared" si="198"/>
        <v>1.2681489358658649</v>
      </c>
      <c r="AP303" s="168" t="str">
        <f t="shared" si="199"/>
        <v>-2,63285436931673+0,942385960292184i</v>
      </c>
      <c r="AQ303" s="98">
        <f t="shared" si="200"/>
        <v>8.9320749881203234</v>
      </c>
      <c r="AR303" s="169">
        <f t="shared" si="201"/>
        <v>160.30602580021895</v>
      </c>
      <c r="AS303" s="168" t="str">
        <f t="shared" si="202"/>
        <v>2,90142899386901+8,00963041800302i</v>
      </c>
      <c r="AT303" s="190">
        <f t="shared" si="203"/>
        <v>18.607719023641852</v>
      </c>
      <c r="AU303" s="169">
        <f t="shared" si="204"/>
        <v>70.087457700890695</v>
      </c>
      <c r="AV303" s="225"/>
      <c r="AX303">
        <f t="shared" si="205"/>
        <v>0</v>
      </c>
      <c r="AY303">
        <f t="shared" si="206"/>
        <v>0</v>
      </c>
    </row>
    <row r="304" spans="14:51" x14ac:dyDescent="0.25">
      <c r="N304" s="170">
        <v>86</v>
      </c>
      <c r="O304" s="199">
        <f t="shared" si="207"/>
        <v>7244.3596007499036</v>
      </c>
      <c r="P304" s="189" t="str">
        <f t="shared" si="173"/>
        <v>120,833333333333</v>
      </c>
      <c r="Q304" s="160" t="str">
        <f t="shared" si="174"/>
        <v>1+40,586574641327i</v>
      </c>
      <c r="R304" s="160">
        <f t="shared" si="182"/>
        <v>40.598892116854714</v>
      </c>
      <c r="S304" s="160">
        <f t="shared" si="183"/>
        <v>1.5461626214993265</v>
      </c>
      <c r="T304" s="160" t="str">
        <f t="shared" si="175"/>
        <v>1+0,00273105922820143i</v>
      </c>
      <c r="U304" s="160">
        <f t="shared" si="184"/>
        <v>1.0000037293353001</v>
      </c>
      <c r="V304" s="160">
        <f t="shared" si="185"/>
        <v>2.7310524381954316E-3</v>
      </c>
      <c r="W304" s="98" t="str">
        <f t="shared" si="176"/>
        <v>1-0,0233778669934042i</v>
      </c>
      <c r="X304" s="160">
        <f t="shared" si="186"/>
        <v>1.0002732250066284</v>
      </c>
      <c r="Y304" s="160">
        <f t="shared" si="187"/>
        <v>-2.3373609529092329E-2</v>
      </c>
      <c r="Z304" s="98" t="str">
        <f t="shared" si="177"/>
        <v>0,999956627482624+0,00905511266163847i</v>
      </c>
      <c r="AA304" s="160">
        <f t="shared" si="188"/>
        <v>0.99999762595305108</v>
      </c>
      <c r="AB304" s="160">
        <f t="shared" si="189"/>
        <v>9.055257910158673E-3</v>
      </c>
      <c r="AC304" s="171" t="str">
        <f t="shared" si="190"/>
        <v>-0,0150763120314567-2,97706488003695i</v>
      </c>
      <c r="AD304" s="190">
        <f t="shared" si="191"/>
        <v>9.4758773653005015</v>
      </c>
      <c r="AE304" s="169">
        <f t="shared" si="192"/>
        <v>-90.290152113115553</v>
      </c>
      <c r="AF304" s="98" t="str">
        <f t="shared" si="178"/>
        <v>-0,0000375877424711299</v>
      </c>
      <c r="AG304" s="98" t="str">
        <f t="shared" si="179"/>
        <v>0,0000461093833028008i</v>
      </c>
      <c r="AH304" s="98">
        <f t="shared" si="193"/>
        <v>4.6109383302800797E-5</v>
      </c>
      <c r="AI304" s="98">
        <f t="shared" si="194"/>
        <v>1.5707963267948966</v>
      </c>
      <c r="AJ304" s="98" t="str">
        <f t="shared" si="180"/>
        <v>1+0,0420577729120851i</v>
      </c>
      <c r="AK304" s="98">
        <f t="shared" si="195"/>
        <v>1.0008840373701264</v>
      </c>
      <c r="AL304" s="98">
        <f t="shared" si="196"/>
        <v>4.2033001145726563E-2</v>
      </c>
      <c r="AM304" s="98" t="str">
        <f t="shared" si="181"/>
        <v>1+3,27727107384172i</v>
      </c>
      <c r="AN304" s="98">
        <f t="shared" si="197"/>
        <v>3.4264421330936936</v>
      </c>
      <c r="AO304" s="98">
        <f t="shared" si="198"/>
        <v>1.274638028411025</v>
      </c>
      <c r="AP304" s="168" t="str">
        <f t="shared" si="199"/>
        <v>-2,63264513355453+0,925909597481032i</v>
      </c>
      <c r="AQ304" s="98">
        <f t="shared" si="200"/>
        <v>8.9143313541080147</v>
      </c>
      <c r="AR304" s="169">
        <f t="shared" si="201"/>
        <v>160.62306586890938</v>
      </c>
      <c r="AS304" s="168" t="str">
        <f t="shared" si="202"/>
        <v>2,79618352425149+7,82359606670083i</v>
      </c>
      <c r="AT304" s="190">
        <f t="shared" si="203"/>
        <v>18.390208719408513</v>
      </c>
      <c r="AU304" s="169">
        <f t="shared" si="204"/>
        <v>70.332913755793854</v>
      </c>
      <c r="AV304" s="225"/>
      <c r="AX304">
        <f t="shared" si="205"/>
        <v>0</v>
      </c>
      <c r="AY304">
        <f t="shared" si="206"/>
        <v>0</v>
      </c>
    </row>
    <row r="305" spans="14:51" x14ac:dyDescent="0.25">
      <c r="N305" s="170">
        <v>87</v>
      </c>
      <c r="O305" s="199">
        <f t="shared" si="207"/>
        <v>7413.1024130091773</v>
      </c>
      <c r="P305" s="189" t="str">
        <f t="shared" si="173"/>
        <v>120,833333333333</v>
      </c>
      <c r="Q305" s="160" t="str">
        <f t="shared" si="174"/>
        <v>1+41,5319574111496i</v>
      </c>
      <c r="R305" s="160">
        <f t="shared" si="182"/>
        <v>41.543994588887863</v>
      </c>
      <c r="S305" s="160">
        <f t="shared" si="183"/>
        <v>1.5467231339576888</v>
      </c>
      <c r="T305" s="160" t="str">
        <f t="shared" si="175"/>
        <v>1+0,0027946737697222i</v>
      </c>
      <c r="U305" s="160">
        <f t="shared" si="184"/>
        <v>1.0000039050931147</v>
      </c>
      <c r="V305" s="160">
        <f t="shared" si="185"/>
        <v>2.7946664941012247E-3</v>
      </c>
      <c r="W305" s="98" t="str">
        <f t="shared" si="176"/>
        <v>1-0,0239224074688221i</v>
      </c>
      <c r="X305" s="160">
        <f t="shared" si="186"/>
        <v>1.0002860998629863</v>
      </c>
      <c r="Y305" s="160">
        <f t="shared" si="187"/>
        <v>-2.3917845584088493E-2</v>
      </c>
      <c r="Z305" s="98" t="str">
        <f t="shared" si="177"/>
        <v>0,999954583398855+0,00926603333096737i</v>
      </c>
      <c r="AA305" s="160">
        <f t="shared" si="188"/>
        <v>0.99999751411394444</v>
      </c>
      <c r="AB305" s="160">
        <f t="shared" si="189"/>
        <v>9.2661889674096696E-3</v>
      </c>
      <c r="AC305" s="171" t="str">
        <f t="shared" si="190"/>
        <v>-0,0183762459299846-2,90935588722334i</v>
      </c>
      <c r="AD305" s="190">
        <f t="shared" si="191"/>
        <v>9.2761102510653419</v>
      </c>
      <c r="AE305" s="169">
        <f t="shared" si="192"/>
        <v>-90.361890182781949</v>
      </c>
      <c r="AF305" s="98" t="str">
        <f t="shared" si="178"/>
        <v>-0,0000375877424711299</v>
      </c>
      <c r="AG305" s="98" t="str">
        <f t="shared" si="179"/>
        <v>0,0000471834088121433i</v>
      </c>
      <c r="AH305" s="98">
        <f t="shared" si="193"/>
        <v>4.7183408812143303E-5</v>
      </c>
      <c r="AI305" s="98">
        <f t="shared" si="194"/>
        <v>1.5707963267948966</v>
      </c>
      <c r="AJ305" s="98" t="str">
        <f t="shared" si="180"/>
        <v>1+0,043037424291872i</v>
      </c>
      <c r="AK305" s="98">
        <f t="shared" si="195"/>
        <v>1.000925681501718</v>
      </c>
      <c r="AL305" s="98">
        <f t="shared" si="196"/>
        <v>4.301088219162618E-2</v>
      </c>
      <c r="AM305" s="98" t="str">
        <f t="shared" si="181"/>
        <v>1+3,35360852366665i</v>
      </c>
      <c r="AN305" s="98">
        <f t="shared" si="197"/>
        <v>3.4995271294861552</v>
      </c>
      <c r="AO305" s="98">
        <f t="shared" si="198"/>
        <v>1.2810043388887136</v>
      </c>
      <c r="AP305" s="168" t="str">
        <f t="shared" si="199"/>
        <v>-2,63242607245598+0,909923336046824i</v>
      </c>
      <c r="AQ305" s="98">
        <f t="shared" si="200"/>
        <v>8.8972892238249255</v>
      </c>
      <c r="AR305" s="169">
        <f t="shared" si="201"/>
        <v>160.93180013355496</v>
      </c>
      <c r="AS305" s="168" t="str">
        <f t="shared" si="202"/>
        <v>2,69566492354968+7,64194331657939i</v>
      </c>
      <c r="AT305" s="190">
        <f t="shared" si="203"/>
        <v>18.173399474890264</v>
      </c>
      <c r="AU305" s="169">
        <f t="shared" si="204"/>
        <v>70.569909950773024</v>
      </c>
      <c r="AV305" s="225"/>
      <c r="AX305">
        <f t="shared" si="205"/>
        <v>0</v>
      </c>
      <c r="AY305">
        <f t="shared" si="206"/>
        <v>0</v>
      </c>
    </row>
    <row r="306" spans="14:51" x14ac:dyDescent="0.25">
      <c r="N306" s="170">
        <v>88</v>
      </c>
      <c r="O306" s="199">
        <f t="shared" si="207"/>
        <v>7585.7757502918394</v>
      </c>
      <c r="P306" s="189" t="str">
        <f t="shared" si="173"/>
        <v>120,833333333333</v>
      </c>
      <c r="Q306" s="160" t="str">
        <f t="shared" si="174"/>
        <v>1+42,4993609745321i</v>
      </c>
      <c r="R306" s="160">
        <f t="shared" si="182"/>
        <v>42.511124229354152</v>
      </c>
      <c r="S306" s="160">
        <f t="shared" si="183"/>
        <v>1.5472709022143991</v>
      </c>
      <c r="T306" s="160" t="str">
        <f t="shared" si="175"/>
        <v>1+0,00285977008426757i</v>
      </c>
      <c r="U306" s="160">
        <f t="shared" si="184"/>
        <v>1.0000040891341069</v>
      </c>
      <c r="V306" s="160">
        <f t="shared" si="185"/>
        <v>2.8597622883009587E-3</v>
      </c>
      <c r="W306" s="98" t="str">
        <f t="shared" si="176"/>
        <v>1-0,0244796319213304i</v>
      </c>
      <c r="X306" s="160">
        <f t="shared" si="186"/>
        <v>1.0002995813150197</v>
      </c>
      <c r="Y306" s="160">
        <f t="shared" si="187"/>
        <v>-2.4474743852833412E-2</v>
      </c>
      <c r="Z306" s="98" t="str">
        <f t="shared" si="177"/>
        <v>0,999952442980385+0,0094818669738188i</v>
      </c>
      <c r="AA306" s="160">
        <f t="shared" si="188"/>
        <v>0.99999739700848689</v>
      </c>
      <c r="AB306" s="160">
        <f t="shared" si="189"/>
        <v>9.4820337411017346E-3</v>
      </c>
      <c r="AC306" s="171" t="str">
        <f t="shared" si="190"/>
        <v>-0,0215278242991716-2,84318232319199i</v>
      </c>
      <c r="AD306" s="190">
        <f t="shared" si="191"/>
        <v>9.0763431859472838</v>
      </c>
      <c r="AE306" s="169">
        <f t="shared" si="192"/>
        <v>-90.433820192750716</v>
      </c>
      <c r="AF306" s="98" t="str">
        <f t="shared" si="178"/>
        <v>-0,0000375877424711299</v>
      </c>
      <c r="AG306" s="98" t="str">
        <f t="shared" si="179"/>
        <v>0,0000482824515893842i</v>
      </c>
      <c r="AH306" s="98">
        <f t="shared" si="193"/>
        <v>4.8282451589384203E-5</v>
      </c>
      <c r="AI306" s="98">
        <f t="shared" si="194"/>
        <v>1.5707963267948966</v>
      </c>
      <c r="AJ306" s="98" t="str">
        <f t="shared" si="180"/>
        <v>1+0,0440398946836861i</v>
      </c>
      <c r="AK306" s="98">
        <f t="shared" si="195"/>
        <v>1.0009692864038089</v>
      </c>
      <c r="AL306" s="98">
        <f t="shared" si="196"/>
        <v>4.4011455798073917E-2</v>
      </c>
      <c r="AM306" s="98" t="str">
        <f t="shared" si="181"/>
        <v>1+3,43172410112109i</v>
      </c>
      <c r="AN306" s="98">
        <f t="shared" si="197"/>
        <v>3.5744552460781147</v>
      </c>
      <c r="AO306" s="98">
        <f t="shared" si="198"/>
        <v>1.2872491778258519</v>
      </c>
      <c r="AP306" s="168" t="str">
        <f t="shared" si="199"/>
        <v>-2,63219672639611+0,89441864085526i</v>
      </c>
      <c r="AQ306" s="98">
        <f t="shared" si="200"/>
        <v>8.8809208190016609</v>
      </c>
      <c r="AR306" s="169">
        <f t="shared" si="201"/>
        <v>161.23227440365031</v>
      </c>
      <c r="AS306" s="168" t="str">
        <f t="shared" si="202"/>
        <v>2,59966073785979+7,46456031630301i</v>
      </c>
      <c r="AT306" s="190">
        <f t="shared" si="203"/>
        <v>17.957264004948946</v>
      </c>
      <c r="AU306" s="169">
        <f t="shared" si="204"/>
        <v>70.798454210899607</v>
      </c>
      <c r="AV306" s="225"/>
      <c r="AX306">
        <f t="shared" si="205"/>
        <v>0</v>
      </c>
      <c r="AY306">
        <f t="shared" si="206"/>
        <v>0</v>
      </c>
    </row>
    <row r="307" spans="14:51" x14ac:dyDescent="0.25">
      <c r="N307" s="170">
        <v>89</v>
      </c>
      <c r="O307" s="199">
        <f t="shared" si="207"/>
        <v>7762.4711662869322</v>
      </c>
      <c r="P307" s="189" t="str">
        <f t="shared" si="173"/>
        <v>120,833333333333</v>
      </c>
      <c r="Q307" s="160" t="str">
        <f t="shared" si="174"/>
        <v>1+43,4892982616489i</v>
      </c>
      <c r="R307" s="160">
        <f t="shared" si="182"/>
        <v>43.500793823683928</v>
      </c>
      <c r="S307" s="160">
        <f t="shared" si="183"/>
        <v>1.5478062153878209</v>
      </c>
      <c r="T307" s="160" t="str">
        <f t="shared" si="175"/>
        <v>1+0,00292638268676515i</v>
      </c>
      <c r="U307" s="160">
        <f t="shared" si="184"/>
        <v>1.0000042818486474</v>
      </c>
      <c r="V307" s="160">
        <f t="shared" si="185"/>
        <v>2.9263743332383547E-3</v>
      </c>
      <c r="W307" s="98" t="str">
        <f t="shared" si="176"/>
        <v>1-0,0250498357987097i</v>
      </c>
      <c r="X307" s="160">
        <f t="shared" si="186"/>
        <v>1.0003136979335743</v>
      </c>
      <c r="Y307" s="160">
        <f t="shared" si="187"/>
        <v>-2.5044598227656881E-2</v>
      </c>
      <c r="Z307" s="98" t="str">
        <f t="shared" si="177"/>
        <v>0,999950201687101+0,00970272802804711i</v>
      </c>
      <c r="AA307" s="160">
        <f t="shared" si="188"/>
        <v>0.99999727438891572</v>
      </c>
      <c r="AB307" s="160">
        <f t="shared" si="189"/>
        <v>9.7029067222199668E-3</v>
      </c>
      <c r="AC307" s="171" t="str">
        <f t="shared" si="190"/>
        <v>-0,0245377093388055-2,7785095785571i</v>
      </c>
      <c r="AD307" s="190">
        <f t="shared" si="191"/>
        <v>8.8765766631822434</v>
      </c>
      <c r="AE307" s="169">
        <f t="shared" si="192"/>
        <v>-90.505980129506895</v>
      </c>
      <c r="AF307" s="98" t="str">
        <f t="shared" si="178"/>
        <v>-0,0000375877424711299</v>
      </c>
      <c r="AG307" s="98" t="str">
        <f t="shared" si="179"/>
        <v>0,0000494070943615517i</v>
      </c>
      <c r="AH307" s="98">
        <f t="shared" si="193"/>
        <v>4.9407094361551697E-5</v>
      </c>
      <c r="AI307" s="98">
        <f t="shared" si="194"/>
        <v>1.5707963267948966</v>
      </c>
      <c r="AJ307" s="98" t="str">
        <f t="shared" si="180"/>
        <v>1+0,0450657156105985i</v>
      </c>
      <c r="AK307" s="98">
        <f t="shared" si="195"/>
        <v>1.0010149443057756</v>
      </c>
      <c r="AL307" s="98">
        <f t="shared" si="196"/>
        <v>4.5035244464101967E-2</v>
      </c>
      <c r="AM307" s="98" t="str">
        <f t="shared" si="181"/>
        <v>1+3,51165922411818i</v>
      </c>
      <c r="AN307" s="98">
        <f t="shared" si="197"/>
        <v>3.6512669727553884</v>
      </c>
      <c r="AO307" s="98">
        <f t="shared" si="198"/>
        <v>1.2933739072890797</v>
      </c>
      <c r="AP307" s="168" t="str">
        <f t="shared" si="199"/>
        <v>-2,63195661441784+0,879387227911669i</v>
      </c>
      <c r="AQ307" s="98">
        <f t="shared" si="200"/>
        <v>8.8651991311202885</v>
      </c>
      <c r="AR307" s="169">
        <f t="shared" si="201"/>
        <v>161.52453678287597</v>
      </c>
      <c r="AS307" s="168" t="str">
        <f t="shared" si="202"/>
        <v>2,50796802241028+7,29133851531193i</v>
      </c>
      <c r="AT307" s="190">
        <f t="shared" si="203"/>
        <v>17.741775794302534</v>
      </c>
      <c r="AU307" s="169">
        <f t="shared" si="204"/>
        <v>71.01855665336906</v>
      </c>
      <c r="AV307" s="225"/>
      <c r="AX307">
        <f t="shared" si="205"/>
        <v>0</v>
      </c>
      <c r="AY307">
        <f t="shared" si="206"/>
        <v>0</v>
      </c>
    </row>
    <row r="308" spans="14:51" x14ac:dyDescent="0.25">
      <c r="N308" s="170">
        <v>90</v>
      </c>
      <c r="O308" s="199">
        <f t="shared" si="207"/>
        <v>7943.2823472428154</v>
      </c>
      <c r="P308" s="189" t="str">
        <f t="shared" si="173"/>
        <v>120,833333333333</v>
      </c>
      <c r="Q308" s="160" t="str">
        <f t="shared" si="174"/>
        <v>1+44,5022941503529i</v>
      </c>
      <c r="R308" s="160">
        <f t="shared" si="182"/>
        <v>44.513528108256416</v>
      </c>
      <c r="S308" s="160">
        <f t="shared" si="183"/>
        <v>1.5483293560801858</v>
      </c>
      <c r="T308" s="160" t="str">
        <f t="shared" si="175"/>
        <v>1+0,00299454689609849i</v>
      </c>
      <c r="U308" s="160">
        <f t="shared" si="184"/>
        <v>1.0000044836455049</v>
      </c>
      <c r="V308" s="160">
        <f t="shared" si="185"/>
        <v>2.9945379451354298E-3</v>
      </c>
      <c r="W308" s="98" t="str">
        <f t="shared" si="176"/>
        <v>1-0,0256333214306031i</v>
      </c>
      <c r="X308" s="160">
        <f t="shared" si="186"/>
        <v>1.0003284796343472</v>
      </c>
      <c r="Y308" s="160">
        <f t="shared" si="187"/>
        <v>-2.5627709371634264E-2</v>
      </c>
      <c r="Z308" s="98" t="str">
        <f t="shared" si="177"/>
        <v>0,999947854764919+0,00992873359710665i</v>
      </c>
      <c r="AA308" s="160">
        <f t="shared" si="188"/>
        <v>0.99999714599583023</v>
      </c>
      <c r="AB308" s="160">
        <f t="shared" si="189"/>
        <v>9.9289250711490848E-3</v>
      </c>
      <c r="AC308" s="171" t="str">
        <f t="shared" si="190"/>
        <v>-0,0274122646951431-2,71530380792467i</v>
      </c>
      <c r="AD308" s="190">
        <f t="shared" si="191"/>
        <v>8.6768111771499861</v>
      </c>
      <c r="AE308" s="169">
        <f t="shared" si="192"/>
        <v>-90.578408101016009</v>
      </c>
      <c r="AF308" s="98" t="str">
        <f t="shared" si="178"/>
        <v>-0,0000375877424711299</v>
      </c>
      <c r="AG308" s="98" t="str">
        <f t="shared" si="179"/>
        <v>0,0000505579334291297i</v>
      </c>
      <c r="AH308" s="98">
        <f t="shared" si="193"/>
        <v>5.0557933429129703E-5</v>
      </c>
      <c r="AI308" s="98">
        <f t="shared" si="194"/>
        <v>1.5707963267948966</v>
      </c>
      <c r="AJ308" s="98" t="str">
        <f t="shared" si="180"/>
        <v>1+0,0461154309764427i</v>
      </c>
      <c r="AK308" s="98">
        <f t="shared" si="195"/>
        <v>1.001062751766413</v>
      </c>
      <c r="AL308" s="98">
        <f t="shared" si="196"/>
        <v>4.6082782426508026E-2</v>
      </c>
      <c r="AM308" s="98" t="str">
        <f t="shared" si="181"/>
        <v>1+3,5934562753182i</v>
      </c>
      <c r="AN308" s="98">
        <f t="shared" si="197"/>
        <v>3.7300037537010264</v>
      </c>
      <c r="AO308" s="98">
        <f t="shared" si="198"/>
        <v>1.2993799359580234</v>
      </c>
      <c r="AP308" s="168" t="str">
        <f t="shared" si="199"/>
        <v>-2,63170523325822+0,864821059672105i</v>
      </c>
      <c r="AQ308" s="98">
        <f t="shared" si="200"/>
        <v>8.8500979132727302</v>
      </c>
      <c r="AR308" s="169">
        <f t="shared" si="201"/>
        <v>161.8086373731154</v>
      </c>
      <c r="AS308" s="168" t="str">
        <f t="shared" si="202"/>
        <v>2,42039291695478+7,12217253739966i</v>
      </c>
      <c r="AT308" s="190">
        <f t="shared" si="203"/>
        <v>17.526909090422716</v>
      </c>
      <c r="AU308" s="169">
        <f t="shared" si="204"/>
        <v>71.230229272099407</v>
      </c>
      <c r="AV308" s="225"/>
      <c r="AX308">
        <f t="shared" si="205"/>
        <v>0</v>
      </c>
      <c r="AY308">
        <f t="shared" si="206"/>
        <v>0</v>
      </c>
    </row>
    <row r="309" spans="14:51" x14ac:dyDescent="0.25">
      <c r="N309" s="170">
        <v>91</v>
      </c>
      <c r="O309" s="199">
        <f t="shared" si="207"/>
        <v>8128.3051616410066</v>
      </c>
      <c r="P309" s="189" t="str">
        <f t="shared" si="173"/>
        <v>120,833333333333</v>
      </c>
      <c r="Q309" s="160" t="str">
        <f t="shared" si="174"/>
        <v>1+45,538885744473i</v>
      </c>
      <c r="R309" s="160">
        <f t="shared" si="182"/>
        <v>45.549864048624407</v>
      </c>
      <c r="S309" s="160">
        <f t="shared" si="183"/>
        <v>1.548840600521588</v>
      </c>
      <c r="T309" s="160" t="str">
        <f t="shared" si="175"/>
        <v>1+0,00306429885383368i</v>
      </c>
      <c r="U309" s="160">
        <f t="shared" si="184"/>
        <v>1.0000046949527115</v>
      </c>
      <c r="V309" s="160">
        <f t="shared" si="185"/>
        <v>3.0642892627063927E-3</v>
      </c>
      <c r="W309" s="98" t="str">
        <f t="shared" si="176"/>
        <v>1-0,0262303981888163i</v>
      </c>
      <c r="X309" s="160">
        <f t="shared" si="186"/>
        <v>1.0003439577411082</v>
      </c>
      <c r="Y309" s="160">
        <f t="shared" si="187"/>
        <v>-2.6224384870955162E-2</v>
      </c>
      <c r="Z309" s="98" t="str">
        <f t="shared" si="177"/>
        <v>0,999945397235702+0,0101600035121417i</v>
      </c>
      <c r="AA309" s="160">
        <f t="shared" si="188"/>
        <v>0.99999701155765086</v>
      </c>
      <c r="AB309" s="160">
        <f t="shared" si="189"/>
        <v>1.0160208680035056E-2</v>
      </c>
      <c r="AC309" s="171" t="str">
        <f t="shared" si="190"/>
        <v>-0,0301575687836136-2,65353191406101i</v>
      </c>
      <c r="AD309" s="190">
        <f t="shared" si="191"/>
        <v>8.4770472244155108</v>
      </c>
      <c r="AE309" s="169">
        <f t="shared" si="192"/>
        <v>-90.651142356205241</v>
      </c>
      <c r="AF309" s="98" t="str">
        <f t="shared" si="178"/>
        <v>-0,0000375877424711299</v>
      </c>
      <c r="AG309" s="98" t="str">
        <f t="shared" si="179"/>
        <v>0,0000517355789822254i</v>
      </c>
      <c r="AH309" s="98">
        <f t="shared" si="193"/>
        <v>5.1735578982225402E-5</v>
      </c>
      <c r="AI309" s="98">
        <f t="shared" si="194"/>
        <v>1.5707963267948966</v>
      </c>
      <c r="AJ309" s="98" t="str">
        <f t="shared" si="180"/>
        <v>1+0,0471895973542008i</v>
      </c>
      <c r="AK309" s="98">
        <f t="shared" si="195"/>
        <v>1.0011128098763153</v>
      </c>
      <c r="AL309" s="98">
        <f t="shared" si="196"/>
        <v>4.7154615902546333E-2</v>
      </c>
      <c r="AM309" s="98" t="str">
        <f t="shared" si="181"/>
        <v>1+3,67715862460042i</v>
      </c>
      <c r="AN309" s="98">
        <f t="shared" si="197"/>
        <v>3.810708011705076</v>
      </c>
      <c r="AO309" s="98">
        <f t="shared" si="198"/>
        <v>1.3052687144116784</v>
      </c>
      <c r="AP309" s="168" t="str">
        <f t="shared" si="199"/>
        <v>-2,63144205633174+0,850712340464293i</v>
      </c>
      <c r="AQ309" s="98">
        <f t="shared" si="200"/>
        <v>8.8355916703286681</v>
      </c>
      <c r="AR309" s="169">
        <f t="shared" si="201"/>
        <v>162.08462799047956</v>
      </c>
      <c r="AS309" s="168" t="str">
        <f t="shared" si="202"/>
        <v>2,33675023992146+6,95696006055598i</v>
      </c>
      <c r="AT309" s="190">
        <f t="shared" si="203"/>
        <v>17.312638894744179</v>
      </c>
      <c r="AU309" s="169">
        <f t="shared" si="204"/>
        <v>71.433485634274277</v>
      </c>
      <c r="AV309" s="225"/>
      <c r="AX309">
        <f t="shared" si="205"/>
        <v>0</v>
      </c>
      <c r="AY309">
        <f t="shared" si="206"/>
        <v>0</v>
      </c>
    </row>
    <row r="310" spans="14:51" x14ac:dyDescent="0.25">
      <c r="N310" s="170">
        <v>92</v>
      </c>
      <c r="O310" s="199">
        <f t="shared" si="207"/>
        <v>8317.6377110267094</v>
      </c>
      <c r="P310" s="189" t="str">
        <f t="shared" si="173"/>
        <v>120,833333333333</v>
      </c>
      <c r="Q310" s="160" t="str">
        <f t="shared" si="174"/>
        <v>1+46,5996226585931i</v>
      </c>
      <c r="R310" s="160">
        <f t="shared" si="182"/>
        <v>46.610351124222007</v>
      </c>
      <c r="S310" s="160">
        <f t="shared" si="183"/>
        <v>1.549340218710989</v>
      </c>
      <c r="T310" s="160" t="str">
        <f t="shared" si="175"/>
        <v>1+0,00313567554338195i</v>
      </c>
      <c r="U310" s="160">
        <f t="shared" si="184"/>
        <v>1.0000049162184721</v>
      </c>
      <c r="V310" s="160">
        <f t="shared" si="185"/>
        <v>3.1356652663066314E-3</v>
      </c>
      <c r="W310" s="98" t="str">
        <f t="shared" si="176"/>
        <v>1-0,0268413826513495i</v>
      </c>
      <c r="X310" s="160">
        <f t="shared" si="186"/>
        <v>1.0003601650518859</v>
      </c>
      <c r="Y310" s="160">
        <f t="shared" si="187"/>
        <v>-2.6834939390458508E-2</v>
      </c>
      <c r="Z310" s="98" t="str">
        <f t="shared" si="177"/>
        <v>0,999942823886701+0,0103966603955225i</v>
      </c>
      <c r="AA310" s="160">
        <f t="shared" si="188"/>
        <v>0.99999687079004895</v>
      </c>
      <c r="AB310" s="160">
        <f t="shared" si="189"/>
        <v>1.0396880236612253E-2</v>
      </c>
      <c r="AC310" s="171" t="str">
        <f t="shared" si="190"/>
        <v>-0,0327794275219082-2,59316153231739i</v>
      </c>
      <c r="AD310" s="190">
        <f t="shared" si="191"/>
        <v>8.2772853047744928</v>
      </c>
      <c r="AE310" s="169">
        <f t="shared" si="192"/>
        <v>-90.724221304513932</v>
      </c>
      <c r="AF310" s="98" t="str">
        <f t="shared" si="178"/>
        <v>-0,0000375877424711299</v>
      </c>
      <c r="AG310" s="98" t="str">
        <f t="shared" si="179"/>
        <v>0,0000529406554240986i</v>
      </c>
      <c r="AH310" s="98">
        <f t="shared" si="193"/>
        <v>5.2940655424098598E-5</v>
      </c>
      <c r="AI310" s="98">
        <f t="shared" si="194"/>
        <v>1.5707963267948966</v>
      </c>
      <c r="AJ310" s="98" t="str">
        <f t="shared" si="180"/>
        <v>1+0,048288784281104i</v>
      </c>
      <c r="AK310" s="98">
        <f t="shared" si="195"/>
        <v>1.0011652244696412</v>
      </c>
      <c r="AL310" s="98">
        <f t="shared" si="196"/>
        <v>4.8251303336100129E-2</v>
      </c>
      <c r="AM310" s="98" t="str">
        <f t="shared" si="181"/>
        <v>1+3,76281065205834i</v>
      </c>
      <c r="AN310" s="98">
        <f t="shared" si="197"/>
        <v>3.8934231728960196</v>
      </c>
      <c r="AO310" s="98">
        <f t="shared" si="198"/>
        <v>1.3110417306283577</v>
      </c>
      <c r="AP310" s="168" t="str">
        <f t="shared" si="199"/>
        <v>-2,63116653266909+0,837053512014583i</v>
      </c>
      <c r="AQ310" s="98">
        <f t="shared" si="200"/>
        <v>8.8216556475748593</v>
      </c>
      <c r="AR310" s="169">
        <f t="shared" si="201"/>
        <v>162.35256189336823</v>
      </c>
      <c r="AS310" s="168" t="str">
        <f t="shared" si="202"/>
        <v>2,25686310050309+6,79560170270937i</v>
      </c>
      <c r="AT310" s="190">
        <f t="shared" si="203"/>
        <v>17.098940952349352</v>
      </c>
      <c r="AU310" s="169">
        <f t="shared" si="204"/>
        <v>71.628340588854257</v>
      </c>
      <c r="AV310" s="225"/>
      <c r="AX310">
        <f t="shared" si="205"/>
        <v>0</v>
      </c>
      <c r="AY310">
        <f t="shared" si="206"/>
        <v>0</v>
      </c>
    </row>
    <row r="311" spans="14:51" x14ac:dyDescent="0.25">
      <c r="N311" s="170">
        <v>93</v>
      </c>
      <c r="O311" s="199">
        <f t="shared" si="207"/>
        <v>8511.3803820237772</v>
      </c>
      <c r="P311" s="189" t="str">
        <f t="shared" si="173"/>
        <v>120,833333333333</v>
      </c>
      <c r="Q311" s="160" t="str">
        <f t="shared" si="174"/>
        <v>1+47,6850673094658i</v>
      </c>
      <c r="R311" s="160">
        <f t="shared" si="182"/>
        <v>47.69555161970856</v>
      </c>
      <c r="S311" s="160">
        <f t="shared" si="183"/>
        <v>1.5498284745542836</v>
      </c>
      <c r="T311" s="160" t="str">
        <f t="shared" si="175"/>
        <v>1+0,0032087148096089i</v>
      </c>
      <c r="U311" s="160">
        <f t="shared" si="184"/>
        <v>1.0000051479121141</v>
      </c>
      <c r="V311" s="160">
        <f t="shared" si="185"/>
        <v>3.208703797527356E-3</v>
      </c>
      <c r="W311" s="98" t="str">
        <f t="shared" si="176"/>
        <v>1-0,0274665987702522i</v>
      </c>
      <c r="X311" s="160">
        <f t="shared" si="186"/>
        <v>1.0003771359082563</v>
      </c>
      <c r="Y311" s="160">
        <f t="shared" si="187"/>
        <v>-2.7459694832385088E-2</v>
      </c>
      <c r="Z311" s="98" t="str">
        <f t="shared" si="177"/>
        <v>0,999940129259498+0,010638829725861i</v>
      </c>
      <c r="AA311" s="160">
        <f t="shared" si="188"/>
        <v>0.99999672339535062</v>
      </c>
      <c r="AB311" s="160">
        <f t="shared" si="189"/>
        <v>1.0639065289531159E-2</v>
      </c>
      <c r="AC311" s="171" t="str">
        <f t="shared" si="190"/>
        <v>-0,0352833864991182-2,5341610153123i</v>
      </c>
      <c r="AD311" s="190">
        <f t="shared" si="191"/>
        <v>8.0775259223064264</v>
      </c>
      <c r="AE311" s="169">
        <f t="shared" si="192"/>
        <v>-90.79768353552015</v>
      </c>
      <c r="AF311" s="98" t="str">
        <f t="shared" si="178"/>
        <v>-0,0000375877424711299</v>
      </c>
      <c r="AG311" s="98" t="str">
        <f t="shared" si="179"/>
        <v>0,0000541738017022303i</v>
      </c>
      <c r="AH311" s="98">
        <f t="shared" si="193"/>
        <v>5.4173801702230302E-5</v>
      </c>
      <c r="AI311" s="98">
        <f t="shared" si="194"/>
        <v>1.5707963267948966</v>
      </c>
      <c r="AJ311" s="98" t="str">
        <f t="shared" si="180"/>
        <v>1+0,0494135745606108i</v>
      </c>
      <c r="AK311" s="98">
        <f t="shared" si="195"/>
        <v>1.0012201063456811</v>
      </c>
      <c r="AL311" s="98">
        <f t="shared" si="196"/>
        <v>4.9373415647272302E-2</v>
      </c>
      <c r="AM311" s="98" t="str">
        <f t="shared" si="181"/>
        <v>1+3,85045777153068i</v>
      </c>
      <c r="AN311" s="98">
        <f t="shared" si="197"/>
        <v>3.9781936919085537</v>
      </c>
      <c r="AO311" s="98">
        <f t="shared" si="198"/>
        <v>1.3167005056985102</v>
      </c>
      <c r="AP311" s="168" t="str">
        <f t="shared" si="199"/>
        <v>-2,63087808580942+0,823837249076948i</v>
      </c>
      <c r="AQ311" s="98">
        <f t="shared" si="200"/>
        <v>8.8082658179785405</v>
      </c>
      <c r="AR311" s="169">
        <f t="shared" si="201"/>
        <v>162.61249352253193</v>
      </c>
      <c r="AS311" s="168" t="str">
        <f t="shared" si="202"/>
        <v>2,1805625279066+6,63800091302613i</v>
      </c>
      <c r="AT311" s="190">
        <f t="shared" si="203"/>
        <v>16.885791740284965</v>
      </c>
      <c r="AU311" s="169">
        <f t="shared" si="204"/>
        <v>71.814809987011827</v>
      </c>
      <c r="AV311" s="225"/>
      <c r="AX311">
        <f t="shared" si="205"/>
        <v>0</v>
      </c>
      <c r="AY311">
        <f t="shared" si="206"/>
        <v>0</v>
      </c>
    </row>
    <row r="312" spans="14:51" x14ac:dyDescent="0.25">
      <c r="N312" s="170">
        <v>94</v>
      </c>
      <c r="O312" s="199">
        <f t="shared" si="207"/>
        <v>8709.6358995608189</v>
      </c>
      <c r="P312" s="189" t="str">
        <f t="shared" si="173"/>
        <v>120,833333333333</v>
      </c>
      <c r="Q312" s="160" t="str">
        <f t="shared" si="174"/>
        <v>1+48,7957952142124i</v>
      </c>
      <c r="R312" s="160">
        <f t="shared" si="182"/>
        <v>48.806040923100433</v>
      </c>
      <c r="S312" s="160">
        <f t="shared" si="183"/>
        <v>1.5503056259994714</v>
      </c>
      <c r="T312" s="160" t="str">
        <f t="shared" si="175"/>
        <v>1+0,00328345537890026i</v>
      </c>
      <c r="U312" s="160">
        <f t="shared" si="184"/>
        <v>1.0000053905250836</v>
      </c>
      <c r="V312" s="160">
        <f t="shared" si="185"/>
        <v>3.28344357924573E-3</v>
      </c>
      <c r="W312" s="98" t="str">
        <f t="shared" si="176"/>
        <v>1-0,0281063780433862i</v>
      </c>
      <c r="X312" s="160">
        <f t="shared" si="186"/>
        <v>1.0003949062678785</v>
      </c>
      <c r="Y312" s="160">
        <f t="shared" si="187"/>
        <v>-2.8098980498389544E-2</v>
      </c>
      <c r="Z312" s="98" t="str">
        <f t="shared" si="177"/>
        <v>0,999937307638427+0,0108866399045418i</v>
      </c>
      <c r="AA312" s="160">
        <f t="shared" si="188"/>
        <v>0.99999656906191303</v>
      </c>
      <c r="AB312" s="160">
        <f t="shared" si="189"/>
        <v>1.0886892315223594E-2</v>
      </c>
      <c r="AC312" s="171" t="str">
        <f t="shared" si="190"/>
        <v>-0,0376747426054993-2,47649941787133i</v>
      </c>
      <c r="AD312" s="190">
        <f t="shared" si="191"/>
        <v>7.8777695864357966</v>
      </c>
      <c r="AE312" s="169">
        <f t="shared" si="192"/>
        <v>-90.87156783865052</v>
      </c>
      <c r="AF312" s="98" t="str">
        <f t="shared" si="178"/>
        <v>-0,0000375877424711299</v>
      </c>
      <c r="AG312" s="98" t="str">
        <f t="shared" si="179"/>
        <v>0,0000554356716470995i</v>
      </c>
      <c r="AH312" s="98">
        <f t="shared" si="193"/>
        <v>5.5435671647099503E-5</v>
      </c>
      <c r="AI312" s="98">
        <f t="shared" si="194"/>
        <v>1.5707963267948966</v>
      </c>
      <c r="AJ312" s="98" t="str">
        <f t="shared" si="180"/>
        <v>1+0,0505645645714156i</v>
      </c>
      <c r="AK312" s="98">
        <f t="shared" si="195"/>
        <v>1.0012775715006788</v>
      </c>
      <c r="AL312" s="98">
        <f t="shared" si="196"/>
        <v>5.0521536485304122E-2</v>
      </c>
      <c r="AM312" s="98" t="str">
        <f t="shared" si="181"/>
        <v>1+3,94014645468031i</v>
      </c>
      <c r="AN312" s="98">
        <f t="shared" si="197"/>
        <v>4.0650650775024273</v>
      </c>
      <c r="AO312" s="98">
        <f t="shared" si="198"/>
        <v>1.3222465897486593</v>
      </c>
      <c r="AP312" s="168" t="str">
        <f t="shared" si="199"/>
        <v>-2,63057611264448+0,811056455160139i</v>
      </c>
      <c r="AQ312" s="98">
        <f t="shared" si="200"/>
        <v>8.7953988682205058</v>
      </c>
      <c r="AR312" s="169">
        <f t="shared" si="201"/>
        <v>162.86447825304001</v>
      </c>
      <c r="AS312" s="168" t="str">
        <f t="shared" si="202"/>
        <v>2,10768711701292+6,48406386844359i</v>
      </c>
      <c r="AT312" s="190">
        <f t="shared" si="203"/>
        <v>16.673168454656299</v>
      </c>
      <c r="AU312" s="169">
        <f t="shared" si="204"/>
        <v>71.992910414389513</v>
      </c>
      <c r="AV312" s="225"/>
      <c r="AX312">
        <f t="shared" si="205"/>
        <v>0</v>
      </c>
      <c r="AY312">
        <f t="shared" si="206"/>
        <v>0</v>
      </c>
    </row>
    <row r="313" spans="14:51" x14ac:dyDescent="0.25">
      <c r="N313" s="170">
        <v>95</v>
      </c>
      <c r="O313" s="199">
        <f t="shared" si="207"/>
        <v>8912.5093813374679</v>
      </c>
      <c r="P313" s="189" t="str">
        <f t="shared" si="173"/>
        <v>120,833333333333</v>
      </c>
      <c r="Q313" s="160" t="str">
        <f t="shared" si="174"/>
        <v>1+49,9323952954703i</v>
      </c>
      <c r="R313" s="160">
        <f t="shared" si="182"/>
        <v>49.942407830851572</v>
      </c>
      <c r="S313" s="160">
        <f t="shared" si="183"/>
        <v>1.5507719251689887</v>
      </c>
      <c r="T313" s="160" t="str">
        <f t="shared" si="175"/>
        <v>1+0,00335993687969518i</v>
      </c>
      <c r="U313" s="160">
        <f t="shared" si="184"/>
        <v>1.0000056445719872</v>
      </c>
      <c r="V313" s="160">
        <f t="shared" si="185"/>
        <v>3.3599242361414105E-3</v>
      </c>
      <c r="W313" s="98" t="str">
        <f t="shared" si="176"/>
        <v>1-0,0287610596901908i</v>
      </c>
      <c r="X313" s="160">
        <f t="shared" si="186"/>
        <v>1.000413513780428</v>
      </c>
      <c r="Y313" s="160">
        <f t="shared" si="187"/>
        <v>-2.8753133254859987E-2</v>
      </c>
      <c r="Z313" s="98" t="str">
        <f t="shared" si="177"/>
        <v>0,999934353038453+0,0111402223238016i</v>
      </c>
      <c r="AA313" s="160">
        <f t="shared" si="188"/>
        <v>0.99999640746347351</v>
      </c>
      <c r="AB313" s="160">
        <f t="shared" si="189"/>
        <v>1.1140492786340292E-2</v>
      </c>
      <c r="AC313" s="171" t="str">
        <f t="shared" si="190"/>
        <v>-0,0399585551464067-2,42014648222508i</v>
      </c>
      <c r="AD313" s="190">
        <f t="shared" si="191"/>
        <v>7.6780168130043593</v>
      </c>
      <c r="AE313" s="169">
        <f t="shared" si="192"/>
        <v>-90.945913222979911</v>
      </c>
      <c r="AF313" s="98" t="str">
        <f t="shared" si="178"/>
        <v>-0,0000375877424711299</v>
      </c>
      <c r="AG313" s="98" t="str">
        <f t="shared" si="179"/>
        <v>0,0000567269343188538i</v>
      </c>
      <c r="AH313" s="98">
        <f t="shared" si="193"/>
        <v>5.6726934318853803E-5</v>
      </c>
      <c r="AI313" s="98">
        <f t="shared" si="194"/>
        <v>1.5707963267948966</v>
      </c>
      <c r="AJ313" s="98" t="str">
        <f t="shared" si="180"/>
        <v>1+0,0517423645836573i</v>
      </c>
      <c r="AK313" s="98">
        <f t="shared" si="195"/>
        <v>1.001337741370367</v>
      </c>
      <c r="AL313" s="98">
        <f t="shared" si="196"/>
        <v>5.16962624847324E-2</v>
      </c>
      <c r="AM313" s="98" t="str">
        <f t="shared" si="181"/>
        <v>1+4,03192425563422i</v>
      </c>
      <c r="AN313" s="98">
        <f t="shared" si="197"/>
        <v>4.1540839186481966</v>
      </c>
      <c r="AO313" s="98">
        <f t="shared" si="198"/>
        <v>1.3276815580738495</v>
      </c>
      <c r="AP313" s="168" t="str">
        <f t="shared" si="199"/>
        <v>-2,63025998221249+0,798704258348888i</v>
      </c>
      <c r="AQ313" s="98">
        <f t="shared" si="200"/>
        <v>8.7830321836332281</v>
      </c>
      <c r="AR313" s="169">
        <f t="shared" si="201"/>
        <v>163.1085721580092</v>
      </c>
      <c r="AS313" s="168" t="str">
        <f t="shared" si="202"/>
        <v>2,03808268972988+6,33369937513606i</v>
      </c>
      <c r="AT313" s="190">
        <f t="shared" si="203"/>
        <v>16.461048996637594</v>
      </c>
      <c r="AU313" s="169">
        <f t="shared" si="204"/>
        <v>72.162658935029285</v>
      </c>
      <c r="AV313" s="225"/>
      <c r="AX313">
        <f t="shared" si="205"/>
        <v>0</v>
      </c>
      <c r="AY313">
        <f t="shared" si="206"/>
        <v>0</v>
      </c>
    </row>
    <row r="314" spans="14:51" x14ac:dyDescent="0.25">
      <c r="N314" s="170">
        <v>96</v>
      </c>
      <c r="O314" s="199">
        <f t="shared" si="207"/>
        <v>9120.1083935591087</v>
      </c>
      <c r="P314" s="189" t="str">
        <f t="shared" si="173"/>
        <v>120,833333333333</v>
      </c>
      <c r="Q314" s="160" t="str">
        <f t="shared" si="174"/>
        <v>1+51,0954701936473i</v>
      </c>
      <c r="R314" s="160">
        <f t="shared" si="182"/>
        <v>51.105254860042521</v>
      </c>
      <c r="S314" s="160">
        <f t="shared" si="183"/>
        <v>1.551227618489244</v>
      </c>
      <c r="T314" s="160" t="str">
        <f t="shared" si="175"/>
        <v>1+0,00343819986349774i</v>
      </c>
      <c r="U314" s="160">
        <f t="shared" si="184"/>
        <v>1.0000059105916832</v>
      </c>
      <c r="V314" s="160">
        <f t="shared" si="185"/>
        <v>3.4381863156901144E-3</v>
      </c>
      <c r="W314" s="98" t="str">
        <f t="shared" si="176"/>
        <v>1-0,0294309908315407i</v>
      </c>
      <c r="X314" s="160">
        <f t="shared" si="186"/>
        <v>1.0004329978670867</v>
      </c>
      <c r="Y314" s="160">
        <f t="shared" si="187"/>
        <v>-2.942249770158618E-2</v>
      </c>
      <c r="Z314" s="98" t="str">
        <f t="shared" si="177"/>
        <v>0,999931259192471+0,0113997114363958i</v>
      </c>
      <c r="AA314" s="160">
        <f t="shared" si="188"/>
        <v>0.99999623825846151</v>
      </c>
      <c r="AB314" s="160">
        <f t="shared" si="189"/>
        <v>1.1400001241801338E-2</v>
      </c>
      <c r="AC314" s="171" t="str">
        <f t="shared" si="190"/>
        <v>-0,0421396564629504-2,36507262346496i</v>
      </c>
      <c r="AD314" s="190">
        <f t="shared" si="191"/>
        <v>7.4782681253572045</v>
      </c>
      <c r="AE314" s="169">
        <f t="shared" si="192"/>
        <v>-91.020758937128178</v>
      </c>
      <c r="AF314" s="98" t="str">
        <f t="shared" si="178"/>
        <v>-0,0000375877424711299</v>
      </c>
      <c r="AG314" s="98" t="str">
        <f t="shared" si="179"/>
        <v>0,0000580482743620537i</v>
      </c>
      <c r="AH314" s="98">
        <f t="shared" si="193"/>
        <v>5.8048274362053703E-5</v>
      </c>
      <c r="AI314" s="98">
        <f t="shared" si="194"/>
        <v>1.5707963267948966</v>
      </c>
      <c r="AJ314" s="98" t="str">
        <f t="shared" si="180"/>
        <v>1+0,0529475990824923i</v>
      </c>
      <c r="AK314" s="98">
        <f t="shared" si="195"/>
        <v>1.0014007430837069</v>
      </c>
      <c r="AL314" s="98">
        <f t="shared" si="196"/>
        <v>5.2898203524672116E-2</v>
      </c>
      <c r="AM314" s="98" t="str">
        <f t="shared" si="181"/>
        <v>1+4,12583983619729i</v>
      </c>
      <c r="AN314" s="98">
        <f t="shared" si="197"/>
        <v>4.2452979110955784</v>
      </c>
      <c r="AO314" s="98">
        <f t="shared" si="198"/>
        <v>1.3330070074751583</v>
      </c>
      <c r="AP314" s="168" t="str">
        <f t="shared" si="199"/>
        <v>-2,62992903443994+0,786774007215176i</v>
      </c>
      <c r="AQ314" s="98">
        <f t="shared" si="200"/>
        <v>8.7711438321721928</v>
      </c>
      <c r="AR314" s="169">
        <f t="shared" si="201"/>
        <v>163.34483178390261</v>
      </c>
      <c r="AS314" s="168" t="str">
        <f t="shared" si="202"/>
        <v>1,97160197135167+6,18681877463151i</v>
      </c>
      <c r="AT314" s="190">
        <f t="shared" si="203"/>
        <v>16.249411957529393</v>
      </c>
      <c r="AU314" s="169">
        <f t="shared" si="204"/>
        <v>72.324072846774442</v>
      </c>
      <c r="AV314" s="225"/>
      <c r="AX314">
        <f t="shared" si="205"/>
        <v>0</v>
      </c>
      <c r="AY314">
        <f t="shared" si="206"/>
        <v>0</v>
      </c>
    </row>
    <row r="315" spans="14:51" x14ac:dyDescent="0.25">
      <c r="N315" s="170">
        <v>97</v>
      </c>
      <c r="O315" s="199">
        <f t="shared" si="207"/>
        <v>9332.5430079699217</v>
      </c>
      <c r="P315" s="189" t="str">
        <f t="shared" si="173"/>
        <v>120,833333333333</v>
      </c>
      <c r="Q315" s="160" t="str">
        <f t="shared" si="174"/>
        <v>1+52,2856365864494i</v>
      </c>
      <c r="R315" s="160">
        <f t="shared" si="182"/>
        <v>52.295198567844217</v>
      </c>
      <c r="S315" s="160">
        <f t="shared" si="183"/>
        <v>1.5516729468174124</v>
      </c>
      <c r="T315" s="160" t="str">
        <f t="shared" si="175"/>
        <v>1+0,00351828582637788i</v>
      </c>
      <c r="U315" s="160">
        <f t="shared" si="184"/>
        <v>1.0000061891484253</v>
      </c>
      <c r="V315" s="160">
        <f t="shared" si="185"/>
        <v>3.518271309645318E-3</v>
      </c>
      <c r="W315" s="98" t="str">
        <f t="shared" si="176"/>
        <v>1-0,0301165266737947i</v>
      </c>
      <c r="X315" s="160">
        <f t="shared" si="186"/>
        <v>1.0004533998037557</v>
      </c>
      <c r="Y315" s="160">
        <f t="shared" si="187"/>
        <v>-3.0107426343821627E-2</v>
      </c>
      <c r="Z315" s="98" t="str">
        <f t="shared" si="177"/>
        <v>0,99992801953802+0,0116652448268866i</v>
      </c>
      <c r="AA315" s="160">
        <f t="shared" si="188"/>
        <v>0.99999606108929151</v>
      </c>
      <c r="AB315" s="160">
        <f t="shared" si="189"/>
        <v>1.1665555358495392E-2</v>
      </c>
      <c r="AC315" s="171" t="str">
        <f t="shared" si="190"/>
        <v>-0,0442226620809595-2,31124891525587i</v>
      </c>
      <c r="AD315" s="190">
        <f t="shared" si="191"/>
        <v>7.2785240554435573</v>
      </c>
      <c r="AE315" s="169">
        <f t="shared" si="192"/>
        <v>-91.09614448926051</v>
      </c>
      <c r="AF315" s="98" t="str">
        <f t="shared" si="178"/>
        <v>-0,0000375877424711299</v>
      </c>
      <c r="AG315" s="98" t="str">
        <f t="shared" si="179"/>
        <v>0,0000594003923686801i</v>
      </c>
      <c r="AH315" s="98">
        <f t="shared" si="193"/>
        <v>5.9400392368680102E-5</v>
      </c>
      <c r="AI315" s="98">
        <f t="shared" si="194"/>
        <v>1.5707963267948966</v>
      </c>
      <c r="AJ315" s="98" t="str">
        <f t="shared" si="180"/>
        <v>1+0,0541809070992053i</v>
      </c>
      <c r="AK315" s="98">
        <f t="shared" si="195"/>
        <v>1.0014667097283327</v>
      </c>
      <c r="AL315" s="98">
        <f t="shared" si="196"/>
        <v>5.4127982991101442E-2</v>
      </c>
      <c r="AM315" s="98" t="str">
        <f t="shared" si="181"/>
        <v>1+4,22194299165347i</v>
      </c>
      <c r="AN315" s="98">
        <f t="shared" si="197"/>
        <v>4.3387558844410519</v>
      </c>
      <c r="AO315" s="98">
        <f t="shared" si="198"/>
        <v>1.3382245527981875</v>
      </c>
      <c r="AP315" s="168" t="str">
        <f t="shared" si="199"/>
        <v>-2,62958257882938+0,775259266815334i</v>
      </c>
      <c r="AQ315" s="98">
        <f t="shared" si="200"/>
        <v>8.7597125475397615</v>
      </c>
      <c r="AR315" s="169">
        <f t="shared" si="201"/>
        <v>163.57331393717209</v>
      </c>
      <c r="AS315" s="168" t="str">
        <f t="shared" si="202"/>
        <v>1,90810428126655+6,04333585431363i</v>
      </c>
      <c r="AT315" s="190">
        <f t="shared" si="203"/>
        <v>16.038236602983314</v>
      </c>
      <c r="AU315" s="169">
        <f t="shared" si="204"/>
        <v>72.477169447911606</v>
      </c>
      <c r="AV315" s="225"/>
      <c r="AX315">
        <f t="shared" si="205"/>
        <v>0</v>
      </c>
      <c r="AY315">
        <f t="shared" si="206"/>
        <v>0</v>
      </c>
    </row>
    <row r="316" spans="14:51" x14ac:dyDescent="0.25">
      <c r="N316" s="170">
        <v>98</v>
      </c>
      <c r="O316" s="199">
        <f t="shared" si="207"/>
        <v>9549.9258602143691</v>
      </c>
      <c r="P316" s="189" t="str">
        <f t="shared" si="173"/>
        <v>120,833333333333</v>
      </c>
      <c r="Q316" s="160" t="str">
        <f t="shared" si="174"/>
        <v>1+53,5035255158519i</v>
      </c>
      <c r="R316" s="160">
        <f t="shared" si="182"/>
        <v>53.512869878426585</v>
      </c>
      <c r="S316" s="160">
        <f t="shared" si="183"/>
        <v>1.5521081455655323</v>
      </c>
      <c r="T316" s="160" t="str">
        <f t="shared" si="175"/>
        <v>1+0,00360023723097319i</v>
      </c>
      <c r="U316" s="160">
        <f t="shared" si="184"/>
        <v>1.0000064808330591</v>
      </c>
      <c r="V316" s="160">
        <f t="shared" si="185"/>
        <v>3.6002216760194451E-3</v>
      </c>
      <c r="W316" s="98" t="str">
        <f t="shared" si="176"/>
        <v>1-0,0308180306971305i</v>
      </c>
      <c r="X316" s="160">
        <f t="shared" si="186"/>
        <v>1.0004747628081625</v>
      </c>
      <c r="Y316" s="160">
        <f t="shared" si="187"/>
        <v>-3.0808279767778286E-2</v>
      </c>
      <c r="Z316" s="98" t="str">
        <f t="shared" si="177"/>
        <v>0,999924627203359+0,0119369632845924i</v>
      </c>
      <c r="AA316" s="160">
        <f t="shared" si="188"/>
        <v>0.99999587558161163</v>
      </c>
      <c r="AB316" s="160">
        <f t="shared" si="189"/>
        <v>1.1937296024669768E-2</v>
      </c>
      <c r="AC316" s="171" t="str">
        <f t="shared" si="190"/>
        <v>-0,04621198040893-2,25864707580519i</v>
      </c>
      <c r="AD316" s="190">
        <f t="shared" si="191"/>
        <v>7.0787851449359094</v>
      </c>
      <c r="AE316" s="169">
        <f t="shared" si="192"/>
        <v>-91.172109667198242</v>
      </c>
      <c r="AF316" s="98" t="str">
        <f t="shared" si="178"/>
        <v>-0,0000375877424711299</v>
      </c>
      <c r="AG316" s="98" t="str">
        <f t="shared" si="179"/>
        <v>0,0000607840052495975i</v>
      </c>
      <c r="AH316" s="98">
        <f t="shared" si="193"/>
        <v>6.0784005249597502E-5</v>
      </c>
      <c r="AI316" s="98">
        <f t="shared" si="194"/>
        <v>1.5707963267948966</v>
      </c>
      <c r="AJ316" s="98" t="str">
        <f t="shared" si="180"/>
        <v>1+0,0554429425500313i</v>
      </c>
      <c r="AK316" s="98">
        <f t="shared" si="195"/>
        <v>1.0015357806282339</v>
      </c>
      <c r="AL316" s="98">
        <f t="shared" si="196"/>
        <v>5.5386238042006014E-2</v>
      </c>
      <c r="AM316" s="98" t="str">
        <f t="shared" si="181"/>
        <v>1+4,32028467716783i</v>
      </c>
      <c r="AN316" s="98">
        <f t="shared" si="197"/>
        <v>4.4345078297113361</v>
      </c>
      <c r="AO316" s="98">
        <f t="shared" si="198"/>
        <v>1.3433358236678401</v>
      </c>
      <c r="AP316" s="168" t="str">
        <f t="shared" si="199"/>
        <v>-2,62921989309089+0,764153814768729i</v>
      </c>
      <c r="AQ316" s="98">
        <f t="shared" si="200"/>
        <v>8.7487177115714019</v>
      </c>
      <c r="AR316" s="169">
        <f t="shared" si="201"/>
        <v>163.79407548198355</v>
      </c>
      <c r="AS316" s="168" t="str">
        <f t="shared" si="202"/>
        <v>1,84745523738306+5,90316676206107i</v>
      </c>
      <c r="AT316" s="190">
        <f t="shared" si="203"/>
        <v>15.827502856507312</v>
      </c>
      <c r="AU316" s="169">
        <f t="shared" si="204"/>
        <v>72.621965814785241</v>
      </c>
      <c r="AV316" s="225"/>
      <c r="AX316">
        <f t="shared" si="205"/>
        <v>0</v>
      </c>
      <c r="AY316">
        <f t="shared" si="206"/>
        <v>0</v>
      </c>
    </row>
    <row r="317" spans="14:51" x14ac:dyDescent="0.25">
      <c r="N317" s="170">
        <v>99</v>
      </c>
      <c r="O317" s="199">
        <f t="shared" si="207"/>
        <v>9772.3722095581161</v>
      </c>
      <c r="P317" s="189" t="str">
        <f t="shared" si="173"/>
        <v>120,833333333333</v>
      </c>
      <c r="Q317" s="160" t="str">
        <f t="shared" si="174"/>
        <v>1+54,7497827226858i</v>
      </c>
      <c r="R317" s="160">
        <f t="shared" si="182"/>
        <v>54.758914417483702</v>
      </c>
      <c r="S317" s="160">
        <f t="shared" si="183"/>
        <v>1.5525334448219568</v>
      </c>
      <c r="T317" s="160" t="str">
        <f t="shared" si="175"/>
        <v>1+0,00368409752900314i</v>
      </c>
      <c r="U317" s="160">
        <f t="shared" si="184"/>
        <v>1.000006786264275</v>
      </c>
      <c r="V317" s="160">
        <f t="shared" si="185"/>
        <v>3.684080861576019E-3</v>
      </c>
      <c r="W317" s="98" t="str">
        <f t="shared" si="176"/>
        <v>1-0,0315358748482669i</v>
      </c>
      <c r="X317" s="160">
        <f t="shared" si="186"/>
        <v>1.000497132131045</v>
      </c>
      <c r="Y317" s="160">
        <f t="shared" si="187"/>
        <v>-3.1525426819594624E-2</v>
      </c>
      <c r="Z317" s="98" t="str">
        <f t="shared" si="177"/>
        <v>0,999921074992891+0,012215010878236i</v>
      </c>
      <c r="AA317" s="160">
        <f t="shared" si="188"/>
        <v>0.99999568134352168</v>
      </c>
      <c r="AB317" s="160">
        <f t="shared" si="189"/>
        <v>1.221536741505074E-2</v>
      </c>
      <c r="AC317" s="171" t="str">
        <f t="shared" si="190"/>
        <v>-0,0481118220047503-2,20723945408648i</v>
      </c>
      <c r="AD317" s="190">
        <f t="shared" si="191"/>
        <v>6.8790519463686328</v>
      </c>
      <c r="AE317" s="169">
        <f t="shared" si="192"/>
        <v>-91.248694558647117</v>
      </c>
      <c r="AF317" s="98" t="str">
        <f t="shared" si="178"/>
        <v>-0,0000375877424711299</v>
      </c>
      <c r="AG317" s="98" t="str">
        <f t="shared" si="179"/>
        <v>0,0000621998466146697i</v>
      </c>
      <c r="AH317" s="98">
        <f t="shared" si="193"/>
        <v>6.2199846614669705E-5</v>
      </c>
      <c r="AI317" s="98">
        <f t="shared" si="194"/>
        <v>1.5707963267948966</v>
      </c>
      <c r="AJ317" s="98" t="str">
        <f t="shared" si="180"/>
        <v>1+0,0567343745828715i</v>
      </c>
      <c r="AK317" s="98">
        <f t="shared" si="195"/>
        <v>1.0016081016342218</v>
      </c>
      <c r="AL317" s="98">
        <f t="shared" si="196"/>
        <v>5.6673619875226289E-2</v>
      </c>
      <c r="AM317" s="98" t="str">
        <f t="shared" si="181"/>
        <v>1+4,42091703480377i</v>
      </c>
      <c r="AN317" s="98">
        <f t="shared" si="197"/>
        <v>4.5326049274802402</v>
      </c>
      <c r="AO317" s="98">
        <f t="shared" si="198"/>
        <v>1.3483424614142359</v>
      </c>
      <c r="AP317" s="168" t="str">
        <f t="shared" si="199"/>
        <v>-2,62884022171539+0,753451637413754i</v>
      </c>
      <c r="AQ317" s="98">
        <f t="shared" si="200"/>
        <v>8.7381393359876363</v>
      </c>
      <c r="AR317" s="169">
        <f t="shared" si="201"/>
        <v>164.00717314873754</v>
      </c>
      <c r="AS317" s="168" t="str">
        <f t="shared" si="202"/>
        <v>1,7895264736718+5,76622992479122i</v>
      </c>
      <c r="AT317" s="190">
        <f t="shared" si="203"/>
        <v>15.61719128235627</v>
      </c>
      <c r="AU317" s="169">
        <f t="shared" si="204"/>
        <v>72.758478590090405</v>
      </c>
      <c r="AV317" s="225"/>
      <c r="AX317">
        <f t="shared" si="205"/>
        <v>0</v>
      </c>
      <c r="AY317">
        <f t="shared" si="206"/>
        <v>0</v>
      </c>
    </row>
    <row r="318" spans="14:51" x14ac:dyDescent="0.25">
      <c r="N318" s="170">
        <v>100</v>
      </c>
      <c r="O318" s="199">
        <f t="shared" si="207"/>
        <v>10000</v>
      </c>
      <c r="P318" s="189" t="str">
        <f t="shared" si="173"/>
        <v>120,833333333333</v>
      </c>
      <c r="Q318" s="160" t="str">
        <f t="shared" si="174"/>
        <v>1+56,0250689890182i</v>
      </c>
      <c r="R318" s="160">
        <f t="shared" si="182"/>
        <v>56.033992854554356</v>
      </c>
      <c r="S318" s="160">
        <f t="shared" si="183"/>
        <v>1.5529490694702044</v>
      </c>
      <c r="T318" s="160" t="str">
        <f t="shared" si="175"/>
        <v>1+0,00376991118430775i</v>
      </c>
      <c r="U318" s="160">
        <f t="shared" si="184"/>
        <v>1.0000071060899205</v>
      </c>
      <c r="V318" s="160">
        <f t="shared" si="185"/>
        <v>3.7698933248446758E-3</v>
      </c>
      <c r="W318" s="98" t="str">
        <f t="shared" si="176"/>
        <v>1-0,0322704397376743i</v>
      </c>
      <c r="X318" s="160">
        <f t="shared" si="186"/>
        <v>1.0005205551515985</v>
      </c>
      <c r="Y318" s="160">
        <f t="shared" si="187"/>
        <v>-3.2259244787812967E-2</v>
      </c>
      <c r="Z318" s="98" t="str">
        <f t="shared" si="177"/>
        <v>0,999917355371901+0,0124995350323321i</v>
      </c>
      <c r="AA318" s="160">
        <f t="shared" si="188"/>
        <v>0.99999547796475596</v>
      </c>
      <c r="AB318" s="160">
        <f t="shared" si="189"/>
        <v>1.2499917067736906E-2</v>
      </c>
      <c r="AC318" s="171" t="str">
        <f t="shared" si="190"/>
        <v>-0,0499262084301444-2,15699901631669i</v>
      </c>
      <c r="AD318" s="190">
        <f t="shared" si="191"/>
        <v>6.6793250242995938</v>
      </c>
      <c r="AE318" s="169">
        <f t="shared" si="192"/>
        <v>-91.325939571549</v>
      </c>
      <c r="AF318" s="98" t="str">
        <f t="shared" si="178"/>
        <v>-0,0000375877424711299</v>
      </c>
      <c r="AG318" s="98" t="str">
        <f t="shared" si="179"/>
        <v>0,0000636486671617292i</v>
      </c>
      <c r="AH318" s="98">
        <f t="shared" si="193"/>
        <v>6.3648667161729194E-5</v>
      </c>
      <c r="AI318" s="98">
        <f t="shared" si="194"/>
        <v>1.5707963267948966</v>
      </c>
      <c r="AJ318" s="98" t="str">
        <f t="shared" si="180"/>
        <v>1+0,0580558879320837i</v>
      </c>
      <c r="AK318" s="98">
        <f t="shared" si="195"/>
        <v>1.0016838254277558</v>
      </c>
      <c r="AL318" s="98">
        <f t="shared" si="196"/>
        <v>5.7990793998827242E-2</v>
      </c>
      <c r="AM318" s="98" t="str">
        <f t="shared" si="181"/>
        <v>1+4,5238934211693i</v>
      </c>
      <c r="AN318" s="98">
        <f t="shared" si="197"/>
        <v>4.6330995765360869</v>
      </c>
      <c r="AO318" s="98">
        <f t="shared" si="198"/>
        <v>1.3532461161841791</v>
      </c>
      <c r="AP318" s="168" t="str">
        <f t="shared" si="199"/>
        <v>-2,62844277448745+0,743146926036582i</v>
      </c>
      <c r="AQ318" s="98">
        <f t="shared" si="200"/>
        <v>8.7279580436054491</v>
      </c>
      <c r="AR318" s="169">
        <f t="shared" si="201"/>
        <v>164.21266335307834</v>
      </c>
      <c r="AS318" s="168" t="str">
        <f t="shared" si="202"/>
        <v>1,73419537024545+5,63244597069062i</v>
      </c>
      <c r="AT318" s="190">
        <f t="shared" si="203"/>
        <v>15.407283067905047</v>
      </c>
      <c r="AU318" s="169">
        <f t="shared" si="204"/>
        <v>72.886723781529327</v>
      </c>
      <c r="AV318" s="225"/>
      <c r="AX318">
        <f t="shared" si="205"/>
        <v>0</v>
      </c>
      <c r="AY318">
        <f t="shared" si="206"/>
        <v>0</v>
      </c>
    </row>
    <row r="319" spans="14:51" x14ac:dyDescent="0.25">
      <c r="N319" s="170">
        <v>1</v>
      </c>
      <c r="O319" s="199">
        <f>10^(4+(N319/100))</f>
        <v>10232.929922807549</v>
      </c>
      <c r="P319" s="189" t="str">
        <f t="shared" si="173"/>
        <v>120,833333333333</v>
      </c>
      <c r="Q319" s="160" t="str">
        <f t="shared" si="174"/>
        <v>1+57,3300604885081i</v>
      </c>
      <c r="R319" s="160">
        <f t="shared" si="182"/>
        <v>57.338781253319283</v>
      </c>
      <c r="S319" s="160">
        <f t="shared" si="183"/>
        <v>1.553355239305263</v>
      </c>
      <c r="T319" s="160" t="str">
        <f t="shared" si="175"/>
        <v>1+0,00385772369642295i</v>
      </c>
      <c r="U319" s="160">
        <f t="shared" si="184"/>
        <v>1.0000074409883748</v>
      </c>
      <c r="V319" s="160">
        <f t="shared" si="185"/>
        <v>3.8577045596711753E-3</v>
      </c>
      <c r="W319" s="98" t="str">
        <f t="shared" si="176"/>
        <v>1-0,0330221148413805i</v>
      </c>
      <c r="X319" s="160">
        <f t="shared" si="186"/>
        <v>1.0005450814773902</v>
      </c>
      <c r="Y319" s="160">
        <f t="shared" si="187"/>
        <v>-3.3010119589403891E-2</v>
      </c>
      <c r="Z319" s="98" t="str">
        <f t="shared" si="177"/>
        <v>0,999913460450574+0,0127906866053532i</v>
      </c>
      <c r="AA319" s="160">
        <f t="shared" si="188"/>
        <v>0.99999526501582903</v>
      </c>
      <c r="AB319" s="160">
        <f t="shared" si="189"/>
        <v>1.279109596290713E-2</v>
      </c>
      <c r="AC319" s="171" t="str">
        <f t="shared" si="190"/>
        <v>-0,0516589807109696-2,10789933268468i</v>
      </c>
      <c r="AD319" s="190">
        <f t="shared" si="191"/>
        <v>6.4796049564956091</v>
      </c>
      <c r="AE319" s="169">
        <f t="shared" si="192"/>
        <v>-91.403885454564417</v>
      </c>
      <c r="AF319" s="98" t="str">
        <f t="shared" si="178"/>
        <v>-0,0000375877424711299</v>
      </c>
      <c r="AG319" s="98" t="str">
        <f t="shared" si="179"/>
        <v>0,0000651312350746077i</v>
      </c>
      <c r="AH319" s="98">
        <f t="shared" si="193"/>
        <v>6.5131235074607699E-5</v>
      </c>
      <c r="AI319" s="98">
        <f t="shared" si="194"/>
        <v>1.5707963267948966</v>
      </c>
      <c r="AJ319" s="98" t="str">
        <f t="shared" si="180"/>
        <v>1+0,0594081832815381i</v>
      </c>
      <c r="AK319" s="98">
        <f t="shared" si="195"/>
        <v>1.0017631118387285</v>
      </c>
      <c r="AL319" s="98">
        <f t="shared" si="196"/>
        <v>5.9338440503794547E-2</v>
      </c>
      <c r="AM319" s="98" t="str">
        <f t="shared" si="181"/>
        <v>1+4,62926843570755i</v>
      </c>
      <c r="AN319" s="98">
        <f t="shared" si="197"/>
        <v>4.7360454231181341</v>
      </c>
      <c r="AO319" s="98">
        <f t="shared" si="198"/>
        <v>1.3580484442323173</v>
      </c>
      <c r="AP319" s="168" t="str">
        <f t="shared" si="199"/>
        <v>-2,62802672493545+0,733234073168176i</v>
      </c>
      <c r="AQ319" s="98">
        <f t="shared" si="200"/>
        <v>8.7181550490959605</v>
      </c>
      <c r="AR319" s="169">
        <f t="shared" si="201"/>
        <v>164.41060202506372</v>
      </c>
      <c r="AS319" s="168" t="str">
        <f t="shared" si="202"/>
        <v>1,68134479542422+5,50173765492652i</v>
      </c>
      <c r="AT319" s="190">
        <f t="shared" si="203"/>
        <v>15.197760005591569</v>
      </c>
      <c r="AU319" s="169">
        <f t="shared" si="204"/>
        <v>73.006716570499336</v>
      </c>
      <c r="AV319" s="225"/>
      <c r="AX319">
        <f t="shared" si="205"/>
        <v>0</v>
      </c>
      <c r="AY319">
        <f t="shared" si="206"/>
        <v>0</v>
      </c>
    </row>
    <row r="320" spans="14:51" x14ac:dyDescent="0.25">
      <c r="N320" s="170">
        <v>2</v>
      </c>
      <c r="O320" s="199">
        <f t="shared" ref="O320:O383" si="208">10^(4+(N320/100))</f>
        <v>10471.285480509003</v>
      </c>
      <c r="P320" s="189" t="str">
        <f t="shared" si="173"/>
        <v>120,833333333333</v>
      </c>
      <c r="Q320" s="160" t="str">
        <f t="shared" si="174"/>
        <v>1+58,6654491449221i</v>
      </c>
      <c r="R320" s="160">
        <f t="shared" si="182"/>
        <v>58.673971430059517</v>
      </c>
      <c r="S320" s="160">
        <f t="shared" si="183"/>
        <v>1.5537521691473883</v>
      </c>
      <c r="T320" s="160" t="str">
        <f t="shared" si="175"/>
        <v>1+0,00394758162470502i</v>
      </c>
      <c r="U320" s="160">
        <f t="shared" si="184"/>
        <v>1.0000077916699868</v>
      </c>
      <c r="V320" s="160">
        <f t="shared" si="185"/>
        <v>3.9475611193146827E-3</v>
      </c>
      <c r="W320" s="98" t="str">
        <f t="shared" si="176"/>
        <v>1-0,033791298707475i</v>
      </c>
      <c r="X320" s="160">
        <f t="shared" si="186"/>
        <v>1.0005707630489398</v>
      </c>
      <c r="Y320" s="160">
        <f t="shared" si="187"/>
        <v>-3.3778445959366334E-2</v>
      </c>
      <c r="Z320" s="98" t="str">
        <f t="shared" si="177"/>
        <v>0,999909381967261+0,0130886199697173i</v>
      </c>
      <c r="AA320" s="160">
        <f t="shared" si="188"/>
        <v>0.99999504204714018</v>
      </c>
      <c r="AB320" s="160">
        <f t="shared" si="189"/>
        <v>1.3089058603389015E-2</v>
      </c>
      <c r="AC320" s="171" t="str">
        <f t="shared" si="190"/>
        <v>-0,0533138074207209-2,05991456432953i</v>
      </c>
      <c r="AD320" s="190">
        <f t="shared" si="191"/>
        <v>6.2798923351460729</v>
      </c>
      <c r="AE320" s="169">
        <f t="shared" si="192"/>
        <v>-91.482573317691489</v>
      </c>
      <c r="AF320" s="98" t="str">
        <f t="shared" si="178"/>
        <v>-0,0000375877424711299</v>
      </c>
      <c r="AG320" s="98" t="str">
        <f t="shared" si="179"/>
        <v>0,0000666483364304365i</v>
      </c>
      <c r="AH320" s="98">
        <f t="shared" si="193"/>
        <v>6.6648336430436504E-5</v>
      </c>
      <c r="AI320" s="98">
        <f t="shared" si="194"/>
        <v>1.5707963267948966</v>
      </c>
      <c r="AJ320" s="98" t="str">
        <f t="shared" si="180"/>
        <v>1+0,0607919776361286i</v>
      </c>
      <c r="AK320" s="98">
        <f t="shared" si="195"/>
        <v>1.0018461281778313</v>
      </c>
      <c r="AL320" s="98">
        <f t="shared" si="196"/>
        <v>6.0717254338834799E-2</v>
      </c>
      <c r="AM320" s="98" t="str">
        <f t="shared" si="181"/>
        <v>1+4,73709794964603i</v>
      </c>
      <c r="AN320" s="98">
        <f t="shared" si="197"/>
        <v>4.8414973907398338</v>
      </c>
      <c r="AO320" s="98">
        <f t="shared" si="198"/>
        <v>1.3627511053858352</v>
      </c>
      <c r="AP320" s="168" t="str">
        <f t="shared" si="199"/>
        <v>-2,62759120871691+0,72370766894481i</v>
      </c>
      <c r="AQ320" s="98">
        <f t="shared" si="200"/>
        <v>8.7087121393676448</v>
      </c>
      <c r="AR320" s="169">
        <f t="shared" si="201"/>
        <v>164.6010444481584</v>
      </c>
      <c r="AS320" s="168" t="str">
        <f t="shared" si="202"/>
        <v>1,6308628592583+5,37402978864917i</v>
      </c>
      <c r="AT320" s="190">
        <f t="shared" si="203"/>
        <v>14.988604474513711</v>
      </c>
      <c r="AU320" s="169">
        <f t="shared" si="204"/>
        <v>73.118471130466901</v>
      </c>
      <c r="AV320" s="225"/>
      <c r="AX320">
        <f t="shared" si="205"/>
        <v>0</v>
      </c>
      <c r="AY320">
        <f t="shared" si="206"/>
        <v>0</v>
      </c>
    </row>
    <row r="321" spans="14:51" x14ac:dyDescent="0.25">
      <c r="N321" s="170">
        <v>3</v>
      </c>
      <c r="O321" s="199">
        <f t="shared" si="208"/>
        <v>10715.193052376071</v>
      </c>
      <c r="P321" s="189" t="str">
        <f t="shared" si="173"/>
        <v>120,833333333333</v>
      </c>
      <c r="Q321" s="160" t="str">
        <f t="shared" si="174"/>
        <v>1+60,0319429990017i</v>
      </c>
      <c r="R321" s="160">
        <f t="shared" si="182"/>
        <v>60.040271320467802</v>
      </c>
      <c r="S321" s="160">
        <f t="shared" si="183"/>
        <v>1.554140068953449</v>
      </c>
      <c r="T321" s="160" t="str">
        <f t="shared" si="175"/>
        <v>1+0,00403953261301692i</v>
      </c>
      <c r="U321" s="160">
        <f t="shared" si="184"/>
        <v>1.0000081588785821</v>
      </c>
      <c r="V321" s="160">
        <f t="shared" si="185"/>
        <v>4.0395106411049942E-3</v>
      </c>
      <c r="W321" s="98" t="str">
        <f t="shared" si="176"/>
        <v>1-0,0345783991674248i</v>
      </c>
      <c r="X321" s="160">
        <f t="shared" si="186"/>
        <v>1.0005976542491901</v>
      </c>
      <c r="Y321" s="160">
        <f t="shared" si="187"/>
        <v>-3.4564627643936995E-2</v>
      </c>
      <c r="Z321" s="98" t="str">
        <f t="shared" si="177"/>
        <v>0,999905111270951+0,0133934930936376i</v>
      </c>
      <c r="AA321" s="160">
        <f t="shared" si="188"/>
        <v>0.9999948085880358</v>
      </c>
      <c r="AB321" s="160">
        <f t="shared" si="189"/>
        <v>1.3393963097130973E-2</v>
      </c>
      <c r="AC321" s="171" t="str">
        <f t="shared" si="190"/>
        <v>-0,0548941924038476-2,01301945056594i</v>
      </c>
      <c r="AD321" s="190">
        <f t="shared" si="191"/>
        <v>6.0801877681051959</v>
      </c>
      <c r="AE321" s="169">
        <f t="shared" si="192"/>
        <v>-91.562044653028238</v>
      </c>
      <c r="AF321" s="98" t="str">
        <f t="shared" si="178"/>
        <v>-0,0000375877424711299</v>
      </c>
      <c r="AG321" s="98" t="str">
        <f t="shared" si="179"/>
        <v>0,0000682007756164358i</v>
      </c>
      <c r="AH321" s="98">
        <f t="shared" si="193"/>
        <v>6.8200775616435801E-5</v>
      </c>
      <c r="AI321" s="98">
        <f t="shared" si="194"/>
        <v>1.5707963267948966</v>
      </c>
      <c r="AJ321" s="98" t="str">
        <f t="shared" si="180"/>
        <v>1+0,0622080047019387i</v>
      </c>
      <c r="AK321" s="98">
        <f t="shared" si="195"/>
        <v>1.0019330495841507</v>
      </c>
      <c r="AL321" s="98">
        <f t="shared" si="196"/>
        <v>6.2127945587037874E-2</v>
      </c>
      <c r="AM321" s="98" t="str">
        <f t="shared" si="181"/>
        <v>1+4,84743913562031i</v>
      </c>
      <c r="AN321" s="98">
        <f t="shared" si="197"/>
        <v>4.9495117106178643</v>
      </c>
      <c r="AO321" s="98">
        <f t="shared" si="198"/>
        <v>1.3673557606763764</v>
      </c>
      <c r="AP321" s="168" t="str">
        <f t="shared" si="199"/>
        <v>-2,62713532193649+0,714562497527278i</v>
      </c>
      <c r="AQ321" s="98">
        <f t="shared" si="200"/>
        <v>8.6996116536463077</v>
      </c>
      <c r="AR321" s="169">
        <f t="shared" si="201"/>
        <v>164.78404510770088</v>
      </c>
      <c r="AS321" s="168" t="str">
        <f t="shared" si="202"/>
        <v>1,58264267800071+5,24924917110313i</v>
      </c>
      <c r="AT321" s="190">
        <f t="shared" si="203"/>
        <v>14.779799421751502</v>
      </c>
      <c r="AU321" s="169">
        <f t="shared" si="204"/>
        <v>73.222000454672667</v>
      </c>
      <c r="AV321" s="225"/>
      <c r="AX321">
        <f t="shared" si="205"/>
        <v>0</v>
      </c>
      <c r="AY321">
        <f t="shared" si="206"/>
        <v>0</v>
      </c>
    </row>
    <row r="322" spans="14:51" x14ac:dyDescent="0.25">
      <c r="N322" s="170">
        <v>4</v>
      </c>
      <c r="O322" s="199">
        <f t="shared" si="208"/>
        <v>10964.781961431856</v>
      </c>
      <c r="P322" s="189" t="str">
        <f t="shared" si="173"/>
        <v>120,833333333333</v>
      </c>
      <c r="Q322" s="160" t="str">
        <f t="shared" si="174"/>
        <v>1+61,4302665838762i</v>
      </c>
      <c r="R322" s="160">
        <f t="shared" si="182"/>
        <v>61.438405355006552</v>
      </c>
      <c r="S322" s="160">
        <f t="shared" si="183"/>
        <v>1.5545191439258617</v>
      </c>
      <c r="T322" s="160" t="str">
        <f t="shared" si="175"/>
        <v>1+0,00413362541498978i</v>
      </c>
      <c r="U322" s="160">
        <f t="shared" si="184"/>
        <v>1.000008543393041</v>
      </c>
      <c r="V322" s="160">
        <f t="shared" si="185"/>
        <v>4.1336018716728413E-3</v>
      </c>
      <c r="W322" s="98" t="str">
        <f t="shared" si="176"/>
        <v>1-0,0353838335523125i</v>
      </c>
      <c r="X322" s="160">
        <f t="shared" si="186"/>
        <v>1.000625812018088</v>
      </c>
      <c r="Y322" s="160">
        <f t="shared" si="187"/>
        <v>-3.5369077597434573E-2</v>
      </c>
      <c r="Z322" s="98" t="str">
        <f t="shared" si="177"/>
        <v>0,999900639302924+0,01370546762488i</v>
      </c>
      <c r="AA322" s="160">
        <f t="shared" si="188"/>
        <v>0.99999456414583221</v>
      </c>
      <c r="AB322" s="160">
        <f t="shared" si="189"/>
        <v>1.3705971241626506E-2</v>
      </c>
      <c r="AC322" s="171" t="str">
        <f t="shared" si="190"/>
        <v>-0,0564034821547757-1,96718929635476i</v>
      </c>
      <c r="AD322" s="190">
        <f t="shared" si="191"/>
        <v>5.8804918801672423</v>
      </c>
      <c r="AE322" s="169">
        <f t="shared" si="192"/>
        <v>-91.64234135568401</v>
      </c>
      <c r="AF322" s="98" t="str">
        <f t="shared" si="178"/>
        <v>-0,0000375877424711299</v>
      </c>
      <c r="AG322" s="98" t="str">
        <f t="shared" si="179"/>
        <v>0,0000697893757564109i</v>
      </c>
      <c r="AH322" s="98">
        <f t="shared" si="193"/>
        <v>6.9789375756410896E-5</v>
      </c>
      <c r="AI322" s="98">
        <f t="shared" si="194"/>
        <v>1.5707963267948966</v>
      </c>
      <c r="AJ322" s="98" t="str">
        <f t="shared" si="180"/>
        <v>1+0,063657015275262i</v>
      </c>
      <c r="AK322" s="98">
        <f t="shared" si="195"/>
        <v>1.0020240593886731</v>
      </c>
      <c r="AL322" s="98">
        <f t="shared" si="196"/>
        <v>6.3571239744130634E-2</v>
      </c>
      <c r="AM322" s="98" t="str">
        <f t="shared" si="181"/>
        <v>1+4,96035049798774i</v>
      </c>
      <c r="AN322" s="98">
        <f t="shared" si="197"/>
        <v>5.0601459527257928</v>
      </c>
      <c r="AO322" s="98">
        <f t="shared" si="198"/>
        <v>1.3718640701327438</v>
      </c>
      <c r="AP322" s="168" t="str">
        <f t="shared" si="199"/>
        <v>-2,62665811939461+0,705793533573747i</v>
      </c>
      <c r="AQ322" s="98">
        <f t="shared" si="200"/>
        <v>8.690836463317634</v>
      </c>
      <c r="AR322" s="169">
        <f t="shared" si="201"/>
        <v>164.95965754849234</v>
      </c>
      <c r="AS322" s="168" t="str">
        <f t="shared" si="202"/>
        <v>1,53658214904665+5,12732452468052i</v>
      </c>
      <c r="AT322" s="190">
        <f t="shared" si="203"/>
        <v>14.571328343484879</v>
      </c>
      <c r="AU322" s="169">
        <f t="shared" si="204"/>
        <v>73.317316192808349</v>
      </c>
      <c r="AV322" s="225"/>
      <c r="AX322">
        <f t="shared" si="205"/>
        <v>0</v>
      </c>
      <c r="AY322">
        <f t="shared" si="206"/>
        <v>0</v>
      </c>
    </row>
    <row r="323" spans="14:51" x14ac:dyDescent="0.25">
      <c r="N323" s="170">
        <v>5</v>
      </c>
      <c r="O323" s="199">
        <f t="shared" si="208"/>
        <v>11220.184543019639</v>
      </c>
      <c r="P323" s="189" t="str">
        <f t="shared" si="173"/>
        <v>120,833333333333</v>
      </c>
      <c r="Q323" s="160" t="str">
        <f t="shared" si="174"/>
        <v>1+62,8611613092191i</v>
      </c>
      <c r="R323" s="160">
        <f t="shared" si="182"/>
        <v>62.869114843010671</v>
      </c>
      <c r="S323" s="160">
        <f t="shared" si="183"/>
        <v>1.5548895946191668</v>
      </c>
      <c r="T323" s="160" t="str">
        <f t="shared" si="175"/>
        <v>1+0,00422990991987266i</v>
      </c>
      <c r="U323" s="160">
        <f t="shared" si="184"/>
        <v>1.0000089460289494</v>
      </c>
      <c r="V323" s="160">
        <f t="shared" si="185"/>
        <v>4.2298846927662399E-3</v>
      </c>
      <c r="W323" s="98" t="str">
        <f t="shared" si="176"/>
        <v>1-0,03620802891411i</v>
      </c>
      <c r="X323" s="160">
        <f t="shared" si="186"/>
        <v>1.0006552959725168</v>
      </c>
      <c r="Y323" s="160">
        <f t="shared" si="187"/>
        <v>-3.6192218182761075E-2</v>
      </c>
      <c r="Z323" s="98" t="str">
        <f t="shared" si="177"/>
        <v>0,999895956577538+0,0140247089764705i</v>
      </c>
      <c r="AA323" s="160">
        <f t="shared" si="188"/>
        <v>0.99999430820479385</v>
      </c>
      <c r="AB323" s="160">
        <f t="shared" si="189"/>
        <v>1.4025248610336041E-2</v>
      </c>
      <c r="AC323" s="171" t="str">
        <f t="shared" si="190"/>
        <v>-0,0578448728678315-1,92239996001574i</v>
      </c>
      <c r="AD323" s="190">
        <f t="shared" si="191"/>
        <v>5.6808053143757089</v>
      </c>
      <c r="AE323" s="169">
        <f t="shared" si="192"/>
        <v>-91.723505744846065</v>
      </c>
      <c r="AF323" s="98" t="str">
        <f t="shared" si="178"/>
        <v>-0,0000375877424711299</v>
      </c>
      <c r="AG323" s="98" t="str">
        <f t="shared" si="179"/>
        <v>0,0000714149791471836i</v>
      </c>
      <c r="AH323" s="98">
        <f t="shared" si="193"/>
        <v>7.1414979147183598E-5</v>
      </c>
      <c r="AI323" s="98">
        <f t="shared" si="194"/>
        <v>1.5707963267948966</v>
      </c>
      <c r="AJ323" s="98" t="str">
        <f t="shared" si="180"/>
        <v>1+0,0651397776406846i</v>
      </c>
      <c r="AK323" s="98">
        <f t="shared" si="195"/>
        <v>1.0021193494943992</v>
      </c>
      <c r="AL323" s="98">
        <f t="shared" si="196"/>
        <v>6.5047877998026665E-2</v>
      </c>
      <c r="AM323" s="98" t="str">
        <f t="shared" si="181"/>
        <v>1+5,0758919038472i</v>
      </c>
      <c r="AN323" s="98">
        <f t="shared" si="197"/>
        <v>5.1734590574915691</v>
      </c>
      <c r="AO323" s="98">
        <f t="shared" si="198"/>
        <v>1.3762776907278482</v>
      </c>
      <c r="AP323" s="168" t="str">
        <f t="shared" si="199"/>
        <v>-2,62615861276408+0,697395938761123i</v>
      </c>
      <c r="AQ323" s="98">
        <f t="shared" si="200"/>
        <v>8.6823699515899406</v>
      </c>
      <c r="AR323" s="169">
        <f t="shared" si="201"/>
        <v>165.1279342411481</v>
      </c>
      <c r="AS323" s="168" t="str">
        <f t="shared" si="202"/>
        <v>1,49258373587562+5,00818643275648i</v>
      </c>
      <c r="AT323" s="190">
        <f t="shared" si="203"/>
        <v>14.363175265965646</v>
      </c>
      <c r="AU323" s="169">
        <f t="shared" si="204"/>
        <v>73.40442849630206</v>
      </c>
      <c r="AV323" s="225"/>
      <c r="AX323">
        <f t="shared" si="205"/>
        <v>0</v>
      </c>
      <c r="AY323">
        <f t="shared" si="206"/>
        <v>0</v>
      </c>
    </row>
    <row r="324" spans="14:51" x14ac:dyDescent="0.25">
      <c r="N324" s="170">
        <v>6</v>
      </c>
      <c r="O324" s="199">
        <f t="shared" si="208"/>
        <v>11481.536214968832</v>
      </c>
      <c r="P324" s="189" t="str">
        <f t="shared" si="173"/>
        <v>120,833333333333</v>
      </c>
      <c r="Q324" s="160" t="str">
        <f t="shared" si="174"/>
        <v>1+64,3253858543539i</v>
      </c>
      <c r="R324" s="160">
        <f t="shared" si="182"/>
        <v>64.333158365741014</v>
      </c>
      <c r="S324" s="160">
        <f t="shared" si="183"/>
        <v>1.5552516170442849</v>
      </c>
      <c r="T324" s="160" t="str">
        <f t="shared" si="175"/>
        <v>1+0,00432843717898454i</v>
      </c>
      <c r="U324" s="160">
        <f t="shared" si="184"/>
        <v>1.0000093676403299</v>
      </c>
      <c r="V324" s="160">
        <f t="shared" si="185"/>
        <v>4.3284101476666718E-3</v>
      </c>
      <c r="W324" s="98" t="str">
        <f t="shared" si="176"/>
        <v>1-0,0370514222521077i</v>
      </c>
      <c r="X324" s="160">
        <f t="shared" si="186"/>
        <v>1.0006861685318249</v>
      </c>
      <c r="Y324" s="160">
        <f t="shared" si="187"/>
        <v>-3.7034481375582386E-2</v>
      </c>
      <c r="Z324" s="98" t="str">
        <f t="shared" si="177"/>
        <v>0,999891053162103+0,0143513864143992i</v>
      </c>
      <c r="AA324" s="160">
        <f t="shared" si="188"/>
        <v>0.999994040225058</v>
      </c>
      <c r="AB324" s="160">
        <f t="shared" si="189"/>
        <v>1.4351964641156588E-2</v>
      </c>
      <c r="AC324" s="171" t="str">
        <f t="shared" si="190"/>
        <v>-0,0592214171726182-1,87862784118015i</v>
      </c>
      <c r="AD324" s="190">
        <f t="shared" si="191"/>
        <v>5.4811287333706824</v>
      </c>
      <c r="AE324" s="169">
        <f t="shared" si="192"/>
        <v>-91.805580585007178</v>
      </c>
      <c r="AF324" s="98" t="str">
        <f t="shared" si="178"/>
        <v>-0,0000375877424711299</v>
      </c>
      <c r="AG324" s="98" t="str">
        <f t="shared" si="179"/>
        <v>0,0000730784477051891i</v>
      </c>
      <c r="AH324" s="98">
        <f t="shared" si="193"/>
        <v>7.3078447705189105E-5</v>
      </c>
      <c r="AI324" s="98">
        <f t="shared" si="194"/>
        <v>1.5707963267948966</v>
      </c>
      <c r="AJ324" s="98" t="str">
        <f t="shared" si="180"/>
        <v>1+0,0666570779784391i</v>
      </c>
      <c r="AK324" s="98">
        <f t="shared" si="195"/>
        <v>1.0022191207738076</v>
      </c>
      <c r="AL324" s="98">
        <f t="shared" si="196"/>
        <v>6.6558617509345136E-2</v>
      </c>
      <c r="AM324" s="98" t="str">
        <f t="shared" si="181"/>
        <v>1+5,19412461478146i</v>
      </c>
      <c r="AN324" s="98">
        <f t="shared" si="197"/>
        <v>5.2895113681585606</v>
      </c>
      <c r="AO324" s="98">
        <f t="shared" si="198"/>
        <v>1.3805982744733614</v>
      </c>
      <c r="AP324" s="168" t="str">
        <f t="shared" si="199"/>
        <v>-2,62563576869249+0,68936505834952i</v>
      </c>
      <c r="AQ324" s="98">
        <f t="shared" si="200"/>
        <v>8.674195993029743</v>
      </c>
      <c r="AR324" s="169">
        <f t="shared" si="201"/>
        <v>165.28892645685664</v>
      </c>
      <c r="AS324" s="168" t="str">
        <f t="shared" si="202"/>
        <v>1,45055426255327+4,89176728015941i</v>
      </c>
      <c r="AT324" s="190">
        <f t="shared" si="203"/>
        <v>14.155324726400417</v>
      </c>
      <c r="AU324" s="169">
        <f t="shared" si="204"/>
        <v>73.48334587184948</v>
      </c>
      <c r="AV324" s="225"/>
      <c r="AX324">
        <f t="shared" si="205"/>
        <v>0</v>
      </c>
      <c r="AY324">
        <f t="shared" si="206"/>
        <v>0</v>
      </c>
    </row>
    <row r="325" spans="14:51" x14ac:dyDescent="0.25">
      <c r="N325" s="170">
        <v>7</v>
      </c>
      <c r="O325" s="199">
        <f t="shared" si="208"/>
        <v>11748.975549395318</v>
      </c>
      <c r="P325" s="189" t="str">
        <f t="shared" si="173"/>
        <v>120,833333333333</v>
      </c>
      <c r="Q325" s="160" t="str">
        <f t="shared" si="174"/>
        <v>1+65,823716570516i</v>
      </c>
      <c r="R325" s="160">
        <f t="shared" si="182"/>
        <v>65.831312178594942</v>
      </c>
      <c r="S325" s="160">
        <f t="shared" si="183"/>
        <v>1.5556054027705066</v>
      </c>
      <c r="T325" s="160" t="str">
        <f t="shared" si="175"/>
        <v>1+0,00442925943278237i</v>
      </c>
      <c r="U325" s="160">
        <f t="shared" si="184"/>
        <v>1.000009809121452</v>
      </c>
      <c r="V325" s="160">
        <f t="shared" si="185"/>
        <v>4.4292304682187729E-3</v>
      </c>
      <c r="W325" s="98" t="str">
        <f t="shared" si="176"/>
        <v>1-0,0379144607446171i</v>
      </c>
      <c r="X325" s="160">
        <f t="shared" si="186"/>
        <v>1.0007184950492098</v>
      </c>
      <c r="Y325" s="160">
        <f t="shared" si="187"/>
        <v>-3.7896308972201705E-2</v>
      </c>
      <c r="Z325" s="98" t="str">
        <f t="shared" si="177"/>
        <v>0,999885918655818+0,014685673147368i</v>
      </c>
      <c r="AA325" s="160">
        <f t="shared" si="188"/>
        <v>0.99999375964151915</v>
      </c>
      <c r="AB325" s="160">
        <f t="shared" si="189"/>
        <v>1.4686292726989635E-2</v>
      </c>
      <c r="AC325" s="171" t="str">
        <f t="shared" si="190"/>
        <v>-0,0605360305687542-1,83584986898007i</v>
      </c>
      <c r="AD325" s="190">
        <f t="shared" si="191"/>
        <v>5.2814628207753334</v>
      </c>
      <c r="AE325" s="169">
        <f t="shared" si="192"/>
        <v>-91.888609107359969</v>
      </c>
      <c r="AF325" s="98" t="str">
        <f t="shared" si="178"/>
        <v>-0,0000375877424711299</v>
      </c>
      <c r="AG325" s="98" t="str">
        <f t="shared" si="179"/>
        <v>0,0000747806634234757i</v>
      </c>
      <c r="AH325" s="98">
        <f t="shared" si="193"/>
        <v>7.47806634234757E-5</v>
      </c>
      <c r="AI325" s="98">
        <f t="shared" si="194"/>
        <v>1.5707963267948966</v>
      </c>
      <c r="AJ325" s="98" t="str">
        <f t="shared" si="180"/>
        <v>1+0,0682097207812486i</v>
      </c>
      <c r="AK325" s="98">
        <f t="shared" si="195"/>
        <v>1.0023235834844235</v>
      </c>
      <c r="AL325" s="98">
        <f t="shared" si="196"/>
        <v>6.8104231692544384E-2</v>
      </c>
      <c r="AM325" s="98" t="str">
        <f t="shared" si="181"/>
        <v>1+5,31511131933884i</v>
      </c>
      <c r="AN325" s="98">
        <f t="shared" si="197"/>
        <v>5.4083646638298966</v>
      </c>
      <c r="AO325" s="98">
        <f t="shared" si="198"/>
        <v>1.3848274666555234</v>
      </c>
      <c r="AP325" s="168" t="str">
        <f t="shared" si="199"/>
        <v>-2,62508850682785+0,681696417784261i</v>
      </c>
      <c r="AQ325" s="98">
        <f t="shared" si="200"/>
        <v>8.6662989330159999</v>
      </c>
      <c r="AR325" s="169">
        <f t="shared" si="201"/>
        <v>165.4426841501913</v>
      </c>
      <c r="AS325" s="168" t="str">
        <f t="shared" si="202"/>
        <v>1,41040471736843+4,7780011961354i</v>
      </c>
      <c r="AT325" s="190">
        <f t="shared" si="203"/>
        <v>13.947761753791335</v>
      </c>
      <c r="AU325" s="169">
        <f t="shared" si="204"/>
        <v>73.5540750428314</v>
      </c>
      <c r="AV325" s="225"/>
      <c r="AX325">
        <f t="shared" si="205"/>
        <v>0</v>
      </c>
      <c r="AY325">
        <f t="shared" si="206"/>
        <v>0</v>
      </c>
    </row>
    <row r="326" spans="14:51" x14ac:dyDescent="0.25">
      <c r="N326" s="170">
        <v>8</v>
      </c>
      <c r="O326" s="199">
        <f t="shared" si="208"/>
        <v>12022.644346174151</v>
      </c>
      <c r="P326" s="189" t="str">
        <f t="shared" si="173"/>
        <v>120,833333333333</v>
      </c>
      <c r="Q326" s="160" t="str">
        <f t="shared" si="174"/>
        <v>1+67,3569478924835i</v>
      </c>
      <c r="R326" s="160">
        <f t="shared" si="182"/>
        <v>67.364370622687019</v>
      </c>
      <c r="S326" s="160">
        <f t="shared" si="183"/>
        <v>1.5559511390252523</v>
      </c>
      <c r="T326" s="160" t="str">
        <f t="shared" si="175"/>
        <v>1+0,00453243013855962i</v>
      </c>
      <c r="U326" s="160">
        <f t="shared" si="184"/>
        <v>1.0000102714087296</v>
      </c>
      <c r="V326" s="160">
        <f t="shared" si="185"/>
        <v>4.5323991024877747E-3</v>
      </c>
      <c r="W326" s="98" t="str">
        <f t="shared" si="176"/>
        <v>1-0,0387976019860704i</v>
      </c>
      <c r="X326" s="160">
        <f t="shared" si="186"/>
        <v>1.0007523439492259</v>
      </c>
      <c r="Y326" s="160">
        <f t="shared" si="187"/>
        <v>-3.8778152801137694E-2</v>
      </c>
      <c r="Z326" s="98" t="str">
        <f t="shared" si="177"/>
        <v>0,999880542167707+0,0150277464186273i</v>
      </c>
      <c r="AA326" s="160">
        <f t="shared" si="188"/>
        <v>0.99999346586265769</v>
      </c>
      <c r="AB326" s="160">
        <f t="shared" si="189"/>
        <v>1.5028410308456827E-2</v>
      </c>
      <c r="AC326" s="171" t="str">
        <f t="shared" si="190"/>
        <v>-0,0617914975732787-1,79404349047183i</v>
      </c>
      <c r="AD326" s="190">
        <f t="shared" si="191"/>
        <v>5.081808282626171</v>
      </c>
      <c r="AE326" s="169">
        <f t="shared" si="192"/>
        <v>-91.972635031362785</v>
      </c>
      <c r="AF326" s="98" t="str">
        <f t="shared" si="178"/>
        <v>-0,0000375877424711299</v>
      </c>
      <c r="AG326" s="98" t="str">
        <f t="shared" si="179"/>
        <v>0,0000765225288393484i</v>
      </c>
      <c r="AH326" s="98">
        <f t="shared" si="193"/>
        <v>7.6522528839348395E-5</v>
      </c>
      <c r="AI326" s="98">
        <f t="shared" si="194"/>
        <v>1.5707963267948966</v>
      </c>
      <c r="AJ326" s="98" t="str">
        <f t="shared" si="180"/>
        <v>1+0,0697985292808786i</v>
      </c>
      <c r="AK326" s="98">
        <f t="shared" si="195"/>
        <v>1.0024329577032938</v>
      </c>
      <c r="AL326" s="98">
        <f t="shared" si="196"/>
        <v>6.9685510497277114E-2</v>
      </c>
      <c r="AM326" s="98" t="str">
        <f t="shared" si="181"/>
        <v>1+5,43891616627155i</v>
      </c>
      <c r="AN326" s="98">
        <f t="shared" si="197"/>
        <v>5.5300821932164821</v>
      </c>
      <c r="AO326" s="98">
        <f t="shared" si="198"/>
        <v>1.3889669042056128</v>
      </c>
      <c r="AP326" s="168" t="str">
        <f t="shared" si="199"/>
        <v>-2,62451569776526+0,674385719329687i</v>
      </c>
      <c r="AQ326" s="98">
        <f t="shared" si="200"/>
        <v>8.6586635671545267</v>
      </c>
      <c r="AR326" s="169">
        <f t="shared" si="201"/>
        <v>165.58925584962478</v>
      </c>
      <c r="AS326" s="168" t="str">
        <f t="shared" si="202"/>
        <v>1,37205006520008+4,66682399967748i</v>
      </c>
      <c r="AT326" s="190">
        <f t="shared" si="203"/>
        <v>13.740471849780691</v>
      </c>
      <c r="AU326" s="169">
        <f t="shared" si="204"/>
        <v>73.616620818261978</v>
      </c>
      <c r="AV326" s="225"/>
      <c r="AX326">
        <f t="shared" si="205"/>
        <v>0</v>
      </c>
      <c r="AY326">
        <f t="shared" si="206"/>
        <v>0</v>
      </c>
    </row>
    <row r="327" spans="14:51" x14ac:dyDescent="0.25">
      <c r="N327" s="170">
        <v>9</v>
      </c>
      <c r="O327" s="199">
        <f t="shared" si="208"/>
        <v>12302.687708123816</v>
      </c>
      <c r="P327" s="189" t="str">
        <f t="shared" si="173"/>
        <v>120,833333333333</v>
      </c>
      <c r="Q327" s="160" t="str">
        <f t="shared" si="174"/>
        <v>1+68,9258927597983i</v>
      </c>
      <c r="R327" s="160">
        <f t="shared" si="182"/>
        <v>68.933146546021064</v>
      </c>
      <c r="S327" s="160">
        <f t="shared" si="183"/>
        <v>1.5562890087916541</v>
      </c>
      <c r="T327" s="160" t="str">
        <f t="shared" si="175"/>
        <v>1+0,00463800399879014i</v>
      </c>
      <c r="U327" s="160">
        <f t="shared" si="184"/>
        <v>1.0000107554827062</v>
      </c>
      <c r="V327" s="160">
        <f t="shared" si="185"/>
        <v>4.6379707430593163E-3</v>
      </c>
      <c r="W327" s="98" t="str">
        <f t="shared" si="176"/>
        <v>1-0,0397013142296436i</v>
      </c>
      <c r="X327" s="160">
        <f t="shared" si="186"/>
        <v>1.0007877868717028</v>
      </c>
      <c r="Y327" s="160">
        <f t="shared" si="187"/>
        <v>-3.9680474938414083E-2</v>
      </c>
      <c r="Z327" s="98" t="str">
        <f t="shared" si="177"/>
        <v>0,999874912293518+0,0153777875999535i</v>
      </c>
      <c r="AA327" s="160">
        <f t="shared" si="188"/>
        <v>0.99999315826931523</v>
      </c>
      <c r="AB327" s="160">
        <f t="shared" si="189"/>
        <v>1.5378498968819213E-2</v>
      </c>
      <c r="AC327" s="171" t="str">
        <f t="shared" si="190"/>
        <v>-0,0629904775934603-1,75318665929018i</v>
      </c>
      <c r="AD327" s="190">
        <f t="shared" si="191"/>
        <v>4.8821658488481603</v>
      </c>
      <c r="AE327" s="169">
        <f t="shared" si="192"/>
        <v>-92.057702586482989</v>
      </c>
      <c r="AF327" s="98" t="str">
        <f t="shared" si="178"/>
        <v>-0,0000375877424711299</v>
      </c>
      <c r="AG327" s="98" t="str">
        <f t="shared" si="179"/>
        <v>0,000078304967512907i</v>
      </c>
      <c r="AH327" s="98">
        <f t="shared" si="193"/>
        <v>7.8304967512907004E-5</v>
      </c>
      <c r="AI327" s="98">
        <f t="shared" si="194"/>
        <v>1.5707963267948966</v>
      </c>
      <c r="AJ327" s="98" t="str">
        <f t="shared" si="180"/>
        <v>1+0,071424345884626i</v>
      </c>
      <c r="AK327" s="98">
        <f t="shared" si="195"/>
        <v>1.0025474737811904</v>
      </c>
      <c r="AL327" s="98">
        <f t="shared" si="196"/>
        <v>7.130326068954411E-2</v>
      </c>
      <c r="AM327" s="98" t="str">
        <f t="shared" si="181"/>
        <v>1+5,56560479854818i</v>
      </c>
      <c r="AN327" s="98">
        <f t="shared" si="197"/>
        <v>5.6547287091090874</v>
      </c>
      <c r="AO327" s="98">
        <f t="shared" si="198"/>
        <v>1.3930182141986553</v>
      </c>
      <c r="AP327" s="168" t="str">
        <f t="shared" si="199"/>
        <v>-2,62391616091177+0,667428838728682i</v>
      </c>
      <c r="AQ327" s="98">
        <f t="shared" si="200"/>
        <v>8.6512751206866554</v>
      </c>
      <c r="AR327" s="169">
        <f t="shared" si="201"/>
        <v>165.72868855540185</v>
      </c>
      <c r="AS327" s="168" t="str">
        <f t="shared" si="202"/>
        <v>1,33540906822569+4,55817314709525i</v>
      </c>
      <c r="AT327" s="190">
        <f t="shared" si="203"/>
        <v>13.533440969534809</v>
      </c>
      <c r="AU327" s="169">
        <f t="shared" si="204"/>
        <v>73.670985968918885</v>
      </c>
      <c r="AV327" s="225"/>
      <c r="AX327">
        <f t="shared" si="205"/>
        <v>0</v>
      </c>
      <c r="AY327">
        <f t="shared" si="206"/>
        <v>0</v>
      </c>
    </row>
    <row r="328" spans="14:51" x14ac:dyDescent="0.25">
      <c r="N328" s="170">
        <v>10</v>
      </c>
      <c r="O328" s="199">
        <f t="shared" si="208"/>
        <v>12589.254117941671</v>
      </c>
      <c r="P328" s="189" t="str">
        <f t="shared" si="173"/>
        <v>120,833333333333</v>
      </c>
      <c r="Q328" s="160" t="str">
        <f t="shared" si="174"/>
        <v>1+70,5313830477963i</v>
      </c>
      <c r="R328" s="160">
        <f t="shared" si="182"/>
        <v>70.538471734472438</v>
      </c>
      <c r="S328" s="160">
        <f t="shared" si="183"/>
        <v>1.5566191909039988</v>
      </c>
      <c r="T328" s="160" t="str">
        <f t="shared" si="175"/>
        <v>1+0,00474603699013206i</v>
      </c>
      <c r="U328" s="160">
        <f t="shared" si="184"/>
        <v>1.0000112623701354</v>
      </c>
      <c r="V328" s="160">
        <f t="shared" si="185"/>
        <v>4.7460013559961481E-3</v>
      </c>
      <c r="W328" s="98" t="str">
        <f t="shared" si="176"/>
        <v>1-0,0406260766355305i</v>
      </c>
      <c r="X328" s="160">
        <f t="shared" si="186"/>
        <v>1.0008248988223645</v>
      </c>
      <c r="Y328" s="160">
        <f t="shared" si="187"/>
        <v>-4.0603747926560463E-2</v>
      </c>
      <c r="Z328" s="98" t="str">
        <f t="shared" si="177"/>
        <v>0,999869017091532+0,0157359822878143i</v>
      </c>
      <c r="AA328" s="160">
        <f t="shared" si="188"/>
        <v>0.99999283621341439</v>
      </c>
      <c r="AB328" s="160">
        <f t="shared" si="189"/>
        <v>1.573674453115164E-2</v>
      </c>
      <c r="AC328" s="171" t="str">
        <f t="shared" si="190"/>
        <v>-0,0641355105371741-1,7132578245305i</v>
      </c>
      <c r="AD328" s="190">
        <f t="shared" si="191"/>
        <v>4.6825362747796131</v>
      </c>
      <c r="AE328" s="169">
        <f t="shared" si="192"/>
        <v>-92.14385653412171</v>
      </c>
      <c r="AF328" s="98" t="str">
        <f t="shared" si="178"/>
        <v>-0,0000375877424711299</v>
      </c>
      <c r="AG328" s="98" t="str">
        <f t="shared" si="179"/>
        <v>0,0000801289245167298i</v>
      </c>
      <c r="AH328" s="98">
        <f t="shared" si="193"/>
        <v>8.0128924516729804E-5</v>
      </c>
      <c r="AI328" s="98">
        <f t="shared" si="194"/>
        <v>1.5707963267948966</v>
      </c>
      <c r="AJ328" s="98" t="str">
        <f t="shared" si="180"/>
        <v>1+0,0730880326219745i</v>
      </c>
      <c r="AK328" s="98">
        <f t="shared" si="195"/>
        <v>1.0026673728174018</v>
      </c>
      <c r="AL328" s="98">
        <f t="shared" si="196"/>
        <v>7.2958306132180517E-2</v>
      </c>
      <c r="AM328" s="98" t="str">
        <f t="shared" si="181"/>
        <v>1+5,69524438815848i</v>
      </c>
      <c r="AN328" s="98">
        <f t="shared" si="197"/>
        <v>5.7823705035954465</v>
      </c>
      <c r="AO328" s="98">
        <f t="shared" si="198"/>
        <v>1.3969830124740581</v>
      </c>
      <c r="AP328" s="168" t="str">
        <f t="shared" si="199"/>
        <v>-2,6232886622675+0,660821821881672i</v>
      </c>
      <c r="AQ328" s="98">
        <f t="shared" si="200"/>
        <v>8.6441192279243317</v>
      </c>
      <c r="AR328" s="169">
        <f t="shared" si="201"/>
        <v>165.8610276444378</v>
      </c>
      <c r="AS328" s="168" t="str">
        <f t="shared" si="202"/>
        <v>1,30040411460018+4,45198768171146i</v>
      </c>
      <c r="AT328" s="190">
        <f t="shared" si="203"/>
        <v>13.326655502703954</v>
      </c>
      <c r="AU328" s="169">
        <f t="shared" si="204"/>
        <v>73.717171110316116</v>
      </c>
      <c r="AV328" s="225"/>
      <c r="AX328">
        <f t="shared" si="205"/>
        <v>0</v>
      </c>
      <c r="AY328">
        <f t="shared" si="206"/>
        <v>0</v>
      </c>
    </row>
    <row r="329" spans="14:51" x14ac:dyDescent="0.25">
      <c r="N329" s="170">
        <v>11</v>
      </c>
      <c r="O329" s="199">
        <f t="shared" si="208"/>
        <v>12882.49551693136</v>
      </c>
      <c r="P329" s="189" t="str">
        <f t="shared" si="173"/>
        <v>120,833333333333</v>
      </c>
      <c r="Q329" s="160" t="str">
        <f t="shared" si="174"/>
        <v>1+72,1742700086797i</v>
      </c>
      <c r="R329" s="160">
        <f t="shared" si="182"/>
        <v>72.181197352813427</v>
      </c>
      <c r="S329" s="160">
        <f t="shared" si="183"/>
        <v>1.5569418601410752</v>
      </c>
      <c r="T329" s="160" t="str">
        <f t="shared" si="175"/>
        <v>1+0,00485658639310739i</v>
      </c>
      <c r="U329" s="160">
        <f t="shared" si="184"/>
        <v>1.0000117931461578</v>
      </c>
      <c r="V329" s="160">
        <f t="shared" si="185"/>
        <v>4.8565482104671546E-3</v>
      </c>
      <c r="W329" s="98" t="str">
        <f t="shared" si="176"/>
        <v>1-0,0415723795249993i</v>
      </c>
      <c r="X329" s="160">
        <f t="shared" si="186"/>
        <v>1.0008637583304587</v>
      </c>
      <c r="Y329" s="160">
        <f t="shared" si="187"/>
        <v>-4.1548454997318685E-2</v>
      </c>
      <c r="Z329" s="98" t="str">
        <f t="shared" si="177"/>
        <v>0,999862844057237+0,0161025204017744i</v>
      </c>
      <c r="AA329" s="160">
        <f t="shared" si="188"/>
        <v>0.99999249901662557</v>
      </c>
      <c r="AB329" s="160">
        <f t="shared" si="189"/>
        <v>1.610333715782963E-2</v>
      </c>
      <c r="AC329" s="171" t="str">
        <f t="shared" si="190"/>
        <v>-0,0652290221724902-1,67423591985532i</v>
      </c>
      <c r="AD329" s="190">
        <f t="shared" si="191"/>
        <v>4.4829203427472155</v>
      </c>
      <c r="AE329" s="169">
        <f t="shared" si="192"/>
        <v>-92.231142189725134</v>
      </c>
      <c r="AF329" s="98" t="str">
        <f t="shared" si="178"/>
        <v>-0,0000375877424711299</v>
      </c>
      <c r="AG329" s="98" t="str">
        <f t="shared" si="179"/>
        <v>0,0000819953669369633i</v>
      </c>
      <c r="AH329" s="98">
        <f t="shared" si="193"/>
        <v>8.1995366936963294E-5</v>
      </c>
      <c r="AI329" s="98">
        <f t="shared" si="194"/>
        <v>1.5707963267948966</v>
      </c>
      <c r="AJ329" s="98" t="str">
        <f t="shared" si="180"/>
        <v>1+0,0747904716016538i</v>
      </c>
      <c r="AK329" s="98">
        <f t="shared" si="195"/>
        <v>1.0027929071560078</v>
      </c>
      <c r="AL329" s="98">
        <f t="shared" si="196"/>
        <v>7.4651488064170171E-2</v>
      </c>
      <c r="AM329" s="98" t="str">
        <f t="shared" si="181"/>
        <v>1+5,82790367172888i</v>
      </c>
      <c r="AN329" s="98">
        <f t="shared" si="197"/>
        <v>5.913075444043562</v>
      </c>
      <c r="AO329" s="98">
        <f t="shared" si="198"/>
        <v>1.4008629023719747</v>
      </c>
      <c r="AP329" s="168" t="str">
        <f t="shared" si="199"/>
        <v>-2,62263191212023+0,654560881538608i</v>
      </c>
      <c r="AQ329" s="98">
        <f t="shared" si="200"/>
        <v>8.6371819117365654</v>
      </c>
      <c r="AR329" s="169">
        <f t="shared" si="201"/>
        <v>165.98631678191299</v>
      </c>
      <c r="AS329" s="168" t="str">
        <f t="shared" si="202"/>
        <v>1,26696105475007+4,3482081855754i</v>
      </c>
      <c r="AT329" s="190">
        <f t="shared" si="203"/>
        <v>13.120102254483774</v>
      </c>
      <c r="AU329" s="169">
        <f t="shared" si="204"/>
        <v>73.755174592187871</v>
      </c>
      <c r="AV329" s="225"/>
      <c r="AX329">
        <f t="shared" si="205"/>
        <v>0</v>
      </c>
      <c r="AY329">
        <f t="shared" si="206"/>
        <v>0</v>
      </c>
    </row>
    <row r="330" spans="14:51" x14ac:dyDescent="0.25">
      <c r="N330" s="170">
        <v>12</v>
      </c>
      <c r="O330" s="199">
        <f t="shared" si="208"/>
        <v>13182.567385564091</v>
      </c>
      <c r="P330" s="189" t="str">
        <f t="shared" si="173"/>
        <v>120,833333333333</v>
      </c>
      <c r="Q330" s="160" t="str">
        <f t="shared" si="174"/>
        <v>1+73,8554247228609i</v>
      </c>
      <c r="R330" s="160">
        <f t="shared" si="182"/>
        <v>73.862194396011361</v>
      </c>
      <c r="S330" s="160">
        <f t="shared" si="183"/>
        <v>1.5572571873174708</v>
      </c>
      <c r="T330" s="160" t="str">
        <f t="shared" si="175"/>
        <v>1+0,00496971082247286i</v>
      </c>
      <c r="U330" s="160">
        <f t="shared" si="184"/>
        <v>1.0000123489365815</v>
      </c>
      <c r="V330" s="160">
        <f t="shared" si="185"/>
        <v>4.9696699090640093E-3</v>
      </c>
      <c r="W330" s="98" t="str">
        <f t="shared" si="176"/>
        <v>1-0,0425407246403677i</v>
      </c>
      <c r="X330" s="160">
        <f t="shared" si="186"/>
        <v>1.0009044476137208</v>
      </c>
      <c r="Y330" s="160">
        <f t="shared" si="187"/>
        <v>-4.251509029804465E-2</v>
      </c>
      <c r="Z330" s="98" t="str">
        <f t="shared" si="177"/>
        <v>0,999856380096798+0,0164775962851937i</v>
      </c>
      <c r="AA330" s="160">
        <f t="shared" si="188"/>
        <v>0.99999214596896235</v>
      </c>
      <c r="AB330" s="160">
        <f t="shared" si="189"/>
        <v>1.6478471452386151E-2</v>
      </c>
      <c r="AC330" s="171" t="str">
        <f t="shared" si="190"/>
        <v>-0,0662733292476128-1,6361003528226i</v>
      </c>
      <c r="AD330" s="190">
        <f t="shared" si="191"/>
        <v>4.2833188636977484</v>
      </c>
      <c r="AE330" s="169">
        <f t="shared" si="192"/>
        <v>-92.319605445086083</v>
      </c>
      <c r="AF330" s="98" t="str">
        <f t="shared" si="178"/>
        <v>-0,0000375877424711299</v>
      </c>
      <c r="AG330" s="98" t="str">
        <f t="shared" si="179"/>
        <v>0,0000839052843860836i</v>
      </c>
      <c r="AH330" s="98">
        <f t="shared" si="193"/>
        <v>8.3905284386083602E-5</v>
      </c>
      <c r="AI330" s="98">
        <f t="shared" si="194"/>
        <v>1.5707963267948966</v>
      </c>
      <c r="AJ330" s="98" t="str">
        <f t="shared" si="180"/>
        <v>1+0,076532565479345i</v>
      </c>
      <c r="AK330" s="98">
        <f t="shared" si="195"/>
        <v>1.0029243409045621</v>
      </c>
      <c r="AL330" s="98">
        <f t="shared" si="196"/>
        <v>7.6383665378239554E-2</v>
      </c>
      <c r="AM330" s="98" t="str">
        <f t="shared" si="181"/>
        <v>1+5,96365298696743i</v>
      </c>
      <c r="AN330" s="98">
        <f t="shared" si="197"/>
        <v>6.0469130098725206</v>
      </c>
      <c r="AO330" s="98">
        <f t="shared" si="198"/>
        <v>1.4046594735793507</v>
      </c>
      <c r="AP330" s="168" t="str">
        <f t="shared" si="199"/>
        <v>-2,62194456265124+0,648642393997018i</v>
      </c>
      <c r="AQ330" s="98">
        <f t="shared" si="200"/>
        <v>8.6304495631093854</v>
      </c>
      <c r="AR330" s="169">
        <f t="shared" si="201"/>
        <v>166.10459783925208</v>
      </c>
      <c r="AS330" s="168" t="str">
        <f t="shared" si="202"/>
        <v>1,23500904494379+4,24677673309367i</v>
      </c>
      <c r="AT330" s="190">
        <f t="shared" si="203"/>
        <v>12.91376842680714</v>
      </c>
      <c r="AU330" s="169">
        <f t="shared" si="204"/>
        <v>73.784992394166025</v>
      </c>
      <c r="AV330" s="225"/>
      <c r="AX330">
        <f t="shared" si="205"/>
        <v>0</v>
      </c>
      <c r="AY330">
        <f t="shared" si="206"/>
        <v>0</v>
      </c>
    </row>
    <row r="331" spans="14:51" x14ac:dyDescent="0.25">
      <c r="N331" s="170">
        <v>13</v>
      </c>
      <c r="O331" s="199">
        <f t="shared" si="208"/>
        <v>13489.628825916556</v>
      </c>
      <c r="P331" s="189" t="str">
        <f t="shared" si="173"/>
        <v>120,833333333333</v>
      </c>
      <c r="Q331" s="160" t="str">
        <f t="shared" si="174"/>
        <v>1+75,5757385608223i</v>
      </c>
      <c r="R331" s="160">
        <f t="shared" si="182"/>
        <v>75.582354151043504</v>
      </c>
      <c r="S331" s="160">
        <f t="shared" si="183"/>
        <v>1.557565339372857</v>
      </c>
      <c r="T331" s="160" t="str">
        <f t="shared" si="175"/>
        <v>1+0,0050854702582983i</v>
      </c>
      <c r="U331" s="160">
        <f t="shared" si="184"/>
        <v>1.0000129309202697</v>
      </c>
      <c r="V331" s="160">
        <f t="shared" si="185"/>
        <v>5.0854264188214902E-3</v>
      </c>
      <c r="W331" s="98" t="str">
        <f t="shared" si="176"/>
        <v>1-0,0435316254110334i</v>
      </c>
      <c r="X331" s="160">
        <f t="shared" si="186"/>
        <v>1.0009470527510067</v>
      </c>
      <c r="Y331" s="160">
        <f t="shared" si="187"/>
        <v>-4.3504159121785367E-2</v>
      </c>
      <c r="Z331" s="98" t="str">
        <f t="shared" si="177"/>
        <v>0,999849611499288+0,0168614088082701i</v>
      </c>
      <c r="AA331" s="160">
        <f t="shared" si="188"/>
        <v>0.99999177632732383</v>
      </c>
      <c r="AB331" s="160">
        <f t="shared" si="189"/>
        <v>1.6862346563795667E-2</v>
      </c>
      <c r="AC331" s="171" t="str">
        <f t="shared" si="190"/>
        <v>-0,0672706443818024-1,59883099443173i</v>
      </c>
      <c r="AD331" s="190">
        <f t="shared" si="191"/>
        <v>4.0837326788860038</v>
      </c>
      <c r="AE331" s="169">
        <f t="shared" si="192"/>
        <v>-92.409292790839942</v>
      </c>
      <c r="AF331" s="98" t="str">
        <f t="shared" si="178"/>
        <v>-0,0000375877424711299</v>
      </c>
      <c r="AG331" s="98" t="str">
        <f t="shared" si="179"/>
        <v>0,0000858596895276031i</v>
      </c>
      <c r="AH331" s="98">
        <f t="shared" si="193"/>
        <v>8.5859689527603098E-5</v>
      </c>
      <c r="AI331" s="98">
        <f t="shared" si="194"/>
        <v>1.5707963267948966</v>
      </c>
      <c r="AJ331" s="98" t="str">
        <f t="shared" si="180"/>
        <v>1+0,0783152379362817i</v>
      </c>
      <c r="AK331" s="98">
        <f t="shared" si="195"/>
        <v>1.0030619504761491</v>
      </c>
      <c r="AL331" s="98">
        <f t="shared" si="196"/>
        <v>7.8155714896137915E-2</v>
      </c>
      <c r="AM331" s="98" t="str">
        <f t="shared" si="181"/>
        <v>1+6,10256430995796i</v>
      </c>
      <c r="AN331" s="98">
        <f t="shared" si="197"/>
        <v>6.1839543301331616</v>
      </c>
      <c r="AO331" s="98">
        <f t="shared" si="198"/>
        <v>1.4083743010797731</v>
      </c>
      <c r="AP331" s="168" t="str">
        <f t="shared" si="199"/>
        <v>-2,62122520545+0,643062895799086i</v>
      </c>
      <c r="AQ331" s="98">
        <f t="shared" si="200"/>
        <v>8.6239089207971169</v>
      </c>
      <c r="AR331" s="169">
        <f t="shared" si="201"/>
        <v>166.2159108181817</v>
      </c>
      <c r="AS331" s="168" t="str">
        <f t="shared" si="202"/>
        <v>1,20448039781304+4,14763684648071i</v>
      </c>
      <c r="AT331" s="190">
        <f t="shared" si="203"/>
        <v>12.707641599683123</v>
      </c>
      <c r="AU331" s="169">
        <f t="shared" si="204"/>
        <v>73.806618027341827</v>
      </c>
      <c r="AV331" s="225"/>
      <c r="AX331">
        <f t="shared" si="205"/>
        <v>0</v>
      </c>
      <c r="AY331">
        <f t="shared" si="206"/>
        <v>0</v>
      </c>
    </row>
    <row r="332" spans="14:51" x14ac:dyDescent="0.25">
      <c r="N332" s="170">
        <v>14</v>
      </c>
      <c r="O332" s="199">
        <f t="shared" si="208"/>
        <v>13803.842646028841</v>
      </c>
      <c r="P332" s="189" t="str">
        <f t="shared" si="173"/>
        <v>120,833333333333</v>
      </c>
      <c r="Q332" s="160" t="str">
        <f t="shared" si="174"/>
        <v>1+77,3361236557317i</v>
      </c>
      <c r="R332" s="160">
        <f t="shared" si="182"/>
        <v>77.342588669468668</v>
      </c>
      <c r="S332" s="160">
        <f t="shared" si="183"/>
        <v>1.5578664794593076</v>
      </c>
      <c r="T332" s="160" t="str">
        <f t="shared" si="175"/>
        <v>1+0,00520392607776883i</v>
      </c>
      <c r="U332" s="160">
        <f t="shared" si="184"/>
        <v>1.0000135403316412</v>
      </c>
      <c r="V332" s="160">
        <f t="shared" si="185"/>
        <v>5.2038791029574488E-3</v>
      </c>
      <c r="W332" s="98" t="str">
        <f t="shared" si="176"/>
        <v>1-0,0445456072257013i</v>
      </c>
      <c r="X332" s="160">
        <f t="shared" si="186"/>
        <v>1.0009916638629446</v>
      </c>
      <c r="Y332" s="160">
        <f t="shared" si="187"/>
        <v>-4.4516178141005079E-2</v>
      </c>
      <c r="Z332" s="98" t="str">
        <f t="shared" si="177"/>
        <v>0,999842523907606+0,0172541614734837i</v>
      </c>
      <c r="AA332" s="160">
        <f t="shared" si="188"/>
        <v>0.99999138931397036</v>
      </c>
      <c r="AB332" s="160">
        <f t="shared" si="189"/>
        <v>1.7255166293248352E-2</v>
      </c>
      <c r="AC332" s="171" t="str">
        <f t="shared" si="190"/>
        <v>-0,0682230807374709-1,56240816888456i</v>
      </c>
      <c r="AD332" s="190">
        <f t="shared" si="191"/>
        <v>3.8841626616254681</v>
      </c>
      <c r="AE332" s="169">
        <f t="shared" si="192"/>
        <v>-92.500251339158126</v>
      </c>
      <c r="AF332" s="98" t="str">
        <f t="shared" si="178"/>
        <v>-0,0000375877424711299</v>
      </c>
      <c r="AG332" s="98" t="str">
        <f t="shared" si="179"/>
        <v>0,0000878596186129973i</v>
      </c>
      <c r="AH332" s="98">
        <f t="shared" si="193"/>
        <v>8.7859618612997294E-5</v>
      </c>
      <c r="AI332" s="98">
        <f t="shared" si="194"/>
        <v>1.5707963267948966</v>
      </c>
      <c r="AJ332" s="98" t="str">
        <f t="shared" si="180"/>
        <v>1+0,0801394341689968i</v>
      </c>
      <c r="AK332" s="98">
        <f t="shared" si="195"/>
        <v>1.0032060251558137</v>
      </c>
      <c r="AL332" s="98">
        <f t="shared" si="196"/>
        <v>7.9968531640955257E-2</v>
      </c>
      <c r="AM332" s="98" t="str">
        <f t="shared" si="181"/>
        <v>1+6,24471129332261i</v>
      </c>
      <c r="AN332" s="98">
        <f t="shared" si="197"/>
        <v>6.3242722219201593</v>
      </c>
      <c r="AO332" s="98">
        <f t="shared" si="198"/>
        <v>1.412008944201391</v>
      </c>
      <c r="AP332" s="168" t="str">
        <f t="shared" si="199"/>
        <v>-2,62047236893543+0,637819080420261i</v>
      </c>
      <c r="AQ332" s="98">
        <f t="shared" si="200"/>
        <v>8.6175470510790557</v>
      </c>
      <c r="AR332" s="169">
        <f t="shared" si="201"/>
        <v>166.32029378057794</v>
      </c>
      <c r="AS332" s="168" t="str">
        <f t="shared" si="202"/>
        <v>1,17531043951525+4,05073345294158i</v>
      </c>
      <c r="AT332" s="190">
        <f t="shared" si="203"/>
        <v>12.501709712704528</v>
      </c>
      <c r="AU332" s="169">
        <f t="shared" si="204"/>
        <v>73.820042441419787</v>
      </c>
      <c r="AV332" s="225"/>
      <c r="AX332">
        <f t="shared" si="205"/>
        <v>0</v>
      </c>
      <c r="AY332">
        <f t="shared" si="206"/>
        <v>0</v>
      </c>
    </row>
    <row r="333" spans="14:51" x14ac:dyDescent="0.25">
      <c r="N333" s="170">
        <v>15</v>
      </c>
      <c r="O333" s="199">
        <f t="shared" si="208"/>
        <v>14125.375446227561</v>
      </c>
      <c r="P333" s="189" t="str">
        <f t="shared" si="173"/>
        <v>120,833333333333</v>
      </c>
      <c r="Q333" s="160" t="str">
        <f t="shared" si="174"/>
        <v>1+79,1375133870682i</v>
      </c>
      <c r="R333" s="160">
        <f t="shared" si="182"/>
        <v>79.143831251010326</v>
      </c>
      <c r="S333" s="160">
        <f t="shared" si="183"/>
        <v>1.5581607670266846</v>
      </c>
      <c r="T333" s="160" t="str">
        <f t="shared" si="175"/>
        <v>1+0,00532514108772793i</v>
      </c>
      <c r="U333" s="160">
        <f t="shared" si="184"/>
        <v>1.0000141784632877</v>
      </c>
      <c r="V333" s="160">
        <f t="shared" si="185"/>
        <v>5.3250907533492191E-3</v>
      </c>
      <c r="W333" s="98" t="str">
        <f t="shared" si="176"/>
        <v>1-0,0455832077109511i</v>
      </c>
      <c r="X333" s="160">
        <f t="shared" si="186"/>
        <v>1.0010383753009771</v>
      </c>
      <c r="Y333" s="160">
        <f t="shared" si="187"/>
        <v>-4.5551675644924808E-2</v>
      </c>
      <c r="Z333" s="98" t="str">
        <f t="shared" si="177"/>
        <v>0,999835102288019+0,0176560625234965i</v>
      </c>
      <c r="AA333" s="160">
        <f t="shared" si="188"/>
        <v>0.99999098411492049</v>
      </c>
      <c r="AB333" s="160">
        <f t="shared" si="189"/>
        <v>1.7657139203474982E-2</v>
      </c>
      <c r="AC333" s="171" t="str">
        <f t="shared" si="190"/>
        <v>-0,0691326564831721-1,52681264355767i</v>
      </c>
      <c r="AD333" s="190">
        <f t="shared" si="191"/>
        <v>3.6846097191030509</v>
      </c>
      <c r="AE333" s="169">
        <f t="shared" si="192"/>
        <v>-92.592528846642239</v>
      </c>
      <c r="AF333" s="98" t="str">
        <f t="shared" si="178"/>
        <v>-0,0000375877424711299</v>
      </c>
      <c r="AG333" s="98" t="str">
        <f t="shared" si="179"/>
        <v>0,00008990613203114i</v>
      </c>
      <c r="AH333" s="98">
        <f t="shared" si="193"/>
        <v>8.9906132031139998E-5</v>
      </c>
      <c r="AI333" s="98">
        <f t="shared" si="194"/>
        <v>1.5707963267948966</v>
      </c>
      <c r="AJ333" s="98" t="str">
        <f t="shared" si="180"/>
        <v>1+0,0820061213904794i</v>
      </c>
      <c r="AK333" s="98">
        <f t="shared" si="195"/>
        <v>1.003356867692403</v>
      </c>
      <c r="AL333" s="98">
        <f t="shared" si="196"/>
        <v>8.1823029105785441E-2</v>
      </c>
      <c r="AM333" s="98" t="str">
        <f t="shared" si="181"/>
        <v>1+6,39016930527352i</v>
      </c>
      <c r="AN333" s="98">
        <f t="shared" si="197"/>
        <v>6.4679412296386749</v>
      </c>
      <c r="AO333" s="98">
        <f t="shared" si="198"/>
        <v>1.4155649457573893</v>
      </c>
      <c r="AP333" s="168" t="str">
        <f t="shared" si="199"/>
        <v>-2,61968451568154+0,632907794941595i</v>
      </c>
      <c r="AQ333" s="98">
        <f t="shared" si="200"/>
        <v>8.611351327632498</v>
      </c>
      <c r="AR333" s="169">
        <f t="shared" si="201"/>
        <v>166.41778278382614</v>
      </c>
      <c r="AS333" s="168" t="str">
        <f t="shared" si="202"/>
        <v>1,14743737323993+3,95601284350161i</v>
      </c>
      <c r="AT333" s="190">
        <f t="shared" si="203"/>
        <v>12.295961046735551</v>
      </c>
      <c r="AU333" s="169">
        <f t="shared" si="204"/>
        <v>73.825253937183902</v>
      </c>
      <c r="AV333" s="225"/>
      <c r="AX333">
        <f t="shared" si="205"/>
        <v>0</v>
      </c>
      <c r="AY333">
        <f t="shared" si="206"/>
        <v>0</v>
      </c>
    </row>
    <row r="334" spans="14:51" x14ac:dyDescent="0.25">
      <c r="N334" s="170">
        <v>16</v>
      </c>
      <c r="O334" s="199">
        <f t="shared" si="208"/>
        <v>14454.397707459291</v>
      </c>
      <c r="P334" s="189" t="str">
        <f t="shared" si="173"/>
        <v>120,833333333333</v>
      </c>
      <c r="Q334" s="160" t="str">
        <f t="shared" si="174"/>
        <v>1+80,9808628755113i</v>
      </c>
      <c r="R334" s="160">
        <f t="shared" si="182"/>
        <v>80.987036938403705</v>
      </c>
      <c r="S334" s="160">
        <f t="shared" si="183"/>
        <v>1.5584483579061399</v>
      </c>
      <c r="T334" s="160" t="str">
        <f t="shared" si="175"/>
        <v>1+0,0054491795579783i</v>
      </c>
      <c r="U334" s="160">
        <f t="shared" si="184"/>
        <v>1.0000148466687158</v>
      </c>
      <c r="V334" s="160">
        <f t="shared" si="185"/>
        <v>5.4491256237630403E-3</v>
      </c>
      <c r="W334" s="98" t="str">
        <f t="shared" si="176"/>
        <v>1-0,0466449770162943i</v>
      </c>
      <c r="X334" s="160">
        <f t="shared" si="186"/>
        <v>1.0010872858451707</v>
      </c>
      <c r="Y334" s="160">
        <f t="shared" si="187"/>
        <v>-4.6611191780432465E-2</v>
      </c>
      <c r="Z334" s="98" t="str">
        <f t="shared" si="177"/>
        <v>0,999827330898277+0,0180673250515648i</v>
      </c>
      <c r="AA334" s="160">
        <f t="shared" si="188"/>
        <v>0.99999055987828789</v>
      </c>
      <c r="AB334" s="160">
        <f t="shared" si="189"/>
        <v>1.8068478730686229E-2</v>
      </c>
      <c r="AC334" s="171" t="str">
        <f t="shared" si="190"/>
        <v>-0,0700012990567939-1,49202561918266i</v>
      </c>
      <c r="AD334" s="190">
        <f t="shared" si="191"/>
        <v>3.4850747942622635</v>
      </c>
      <c r="AE334" s="169">
        <f t="shared" si="192"/>
        <v>-92.686173737421058</v>
      </c>
      <c r="AF334" s="98" t="str">
        <f t="shared" si="178"/>
        <v>-0,0000375877424711299</v>
      </c>
      <c r="AG334" s="98" t="str">
        <f t="shared" si="179"/>
        <v>0,0000920003148705338i</v>
      </c>
      <c r="AH334" s="98">
        <f t="shared" si="193"/>
        <v>9.2000314870533794E-5</v>
      </c>
      <c r="AI334" s="98">
        <f t="shared" si="194"/>
        <v>1.5707963267948966</v>
      </c>
      <c r="AJ334" s="98" t="str">
        <f t="shared" si="180"/>
        <v>1+0,0839162893430024i</v>
      </c>
      <c r="AK334" s="98">
        <f t="shared" si="195"/>
        <v>1.0035147949168954</v>
      </c>
      <c r="AL334" s="98">
        <f t="shared" si="196"/>
        <v>8.3720139517975578E-2</v>
      </c>
      <c r="AM334" s="98" t="str">
        <f t="shared" si="181"/>
        <v>1+6,53901546957397i</v>
      </c>
      <c r="AN334" s="98">
        <f t="shared" si="197"/>
        <v>6.6150376651480753</v>
      </c>
      <c r="AO334" s="98">
        <f t="shared" si="198"/>
        <v>1.4190438312736591</v>
      </c>
      <c r="AP334" s="168" t="str">
        <f t="shared" si="199"/>
        <v>-2,61886003964523+0,628326036697691i</v>
      </c>
      <c r="AQ334" s="98">
        <f t="shared" si="200"/>
        <v>8.6053094115294897</v>
      </c>
      <c r="AR334" s="169">
        <f t="shared" si="201"/>
        <v>166.50841182142869</v>
      </c>
      <c r="AS334" s="168" t="str">
        <f t="shared" si="202"/>
        <v>1,12080214877555+3,86342263340435i</v>
      </c>
      <c r="AT334" s="190">
        <f t="shared" si="203"/>
        <v>12.090384205791743</v>
      </c>
      <c r="AU334" s="169">
        <f t="shared" si="204"/>
        <v>73.822238084007665</v>
      </c>
      <c r="AV334" s="225"/>
      <c r="AX334">
        <f t="shared" si="205"/>
        <v>0</v>
      </c>
      <c r="AY334">
        <f t="shared" si="206"/>
        <v>0</v>
      </c>
    </row>
    <row r="335" spans="14:51" x14ac:dyDescent="0.25">
      <c r="N335" s="170">
        <v>17</v>
      </c>
      <c r="O335" s="199">
        <f t="shared" si="208"/>
        <v>14791.083881682089</v>
      </c>
      <c r="P335" s="189" t="str">
        <f t="shared" si="173"/>
        <v>120,833333333333</v>
      </c>
      <c r="Q335" s="160" t="str">
        <f t="shared" si="174"/>
        <v>1+82,8671494893593i</v>
      </c>
      <c r="R335" s="160">
        <f t="shared" si="182"/>
        <v>82.873183023773265</v>
      </c>
      <c r="S335" s="160">
        <f t="shared" si="183"/>
        <v>1.5587294043917659</v>
      </c>
      <c r="T335" s="160" t="str">
        <f t="shared" si="175"/>
        <v>1+0,00557610725535873i</v>
      </c>
      <c r="U335" s="160">
        <f t="shared" si="184"/>
        <v>1.0000155463652169</v>
      </c>
      <c r="V335" s="160">
        <f t="shared" si="185"/>
        <v>5.5760494638543894E-3</v>
      </c>
      <c r="W335" s="98" t="str">
        <f t="shared" si="176"/>
        <v>1-0,0477314781058708i</v>
      </c>
      <c r="X335" s="160">
        <f t="shared" si="186"/>
        <v>1.0011384989112002</v>
      </c>
      <c r="Y335" s="160">
        <f t="shared" si="187"/>
        <v>-4.7695278796508603E-2</v>
      </c>
      <c r="Z335" s="98" t="str">
        <f t="shared" si="177"/>
        <v>0,999819193254219+0,0184881671145248i</v>
      </c>
      <c r="AA335" s="160">
        <f t="shared" si="188"/>
        <v>0.99999011571253638</v>
      </c>
      <c r="AB335" s="160">
        <f t="shared" si="189"/>
        <v>1.8489403299194407E-2</v>
      </c>
      <c r="AC335" s="171" t="str">
        <f t="shared" si="190"/>
        <v>-0,0708308492378458-1,45802872023106i</v>
      </c>
      <c r="AD335" s="190">
        <f t="shared" si="191"/>
        <v>3.2855588677586574</v>
      </c>
      <c r="AE335" s="169">
        <f t="shared" si="192"/>
        <v>-92.781235126452543</v>
      </c>
      <c r="AF335" s="98" t="str">
        <f t="shared" si="178"/>
        <v>-0,0000375877424711299</v>
      </c>
      <c r="AG335" s="98" t="str">
        <f t="shared" si="179"/>
        <v>0,0000941432774946401i</v>
      </c>
      <c r="AH335" s="98">
        <f t="shared" si="193"/>
        <v>9.4143277494640096E-5</v>
      </c>
      <c r="AI335" s="98">
        <f t="shared" si="194"/>
        <v>1.5707963267948966</v>
      </c>
      <c r="AJ335" s="98" t="str">
        <f t="shared" si="180"/>
        <v>1+0,0858709508228985i</v>
      </c>
      <c r="AK335" s="98">
        <f t="shared" si="195"/>
        <v>1.0036801383883358</v>
      </c>
      <c r="AL335" s="98">
        <f t="shared" si="196"/>
        <v>8.5660814098154348E-2</v>
      </c>
      <c r="AM335" s="98" t="str">
        <f t="shared" si="181"/>
        <v>1+6,69132870643049i</v>
      </c>
      <c r="AN335" s="98">
        <f t="shared" si="197"/>
        <v>6.7656396488063661</v>
      </c>
      <c r="AO335" s="98">
        <f t="shared" si="198"/>
        <v>1.4224471082985251</v>
      </c>
      <c r="AP335" s="168" t="str">
        <f t="shared" si="199"/>
        <v>-2,61799726329436+0,62407094989164i</v>
      </c>
      <c r="AQ335" s="98">
        <f t="shared" si="200"/>
        <v>8.5994092313625323</v>
      </c>
      <c r="AR335" s="169">
        <f t="shared" si="201"/>
        <v>166.59221276861484</v>
      </c>
      <c r="AS335" s="168" t="str">
        <f t="shared" si="202"/>
        <v>1,09534833786539+3,772911724004i</v>
      </c>
      <c r="AT335" s="190">
        <f t="shared" si="203"/>
        <v>11.884968099121194</v>
      </c>
      <c r="AU335" s="169">
        <f t="shared" si="204"/>
        <v>73.810977642162243</v>
      </c>
      <c r="AV335" s="225"/>
      <c r="AX335">
        <f t="shared" si="205"/>
        <v>0</v>
      </c>
      <c r="AY335">
        <f t="shared" si="206"/>
        <v>0</v>
      </c>
    </row>
    <row r="336" spans="14:51" x14ac:dyDescent="0.25">
      <c r="N336" s="170">
        <v>18</v>
      </c>
      <c r="O336" s="199">
        <f t="shared" si="208"/>
        <v>15135.612484362096</v>
      </c>
      <c r="P336" s="189" t="str">
        <f t="shared" si="173"/>
        <v>120,833333333333</v>
      </c>
      <c r="Q336" s="160" t="str">
        <f t="shared" si="174"/>
        <v>1+84,7973733627431i</v>
      </c>
      <c r="R336" s="160">
        <f t="shared" si="182"/>
        <v>84.80326956680652</v>
      </c>
      <c r="S336" s="160">
        <f t="shared" si="183"/>
        <v>1.5590040553204347</v>
      </c>
      <c r="T336" s="160" t="str">
        <f t="shared" si="175"/>
        <v>1+0,00570599147861446i</v>
      </c>
      <c r="U336" s="160">
        <f t="shared" si="184"/>
        <v>1.0000162790368734</v>
      </c>
      <c r="V336" s="160">
        <f t="shared" si="185"/>
        <v>5.7059295539563246E-3</v>
      </c>
      <c r="W336" s="98" t="str">
        <f t="shared" si="176"/>
        <v>1-0,0488432870569398i</v>
      </c>
      <c r="X336" s="160">
        <f t="shared" si="186"/>
        <v>1.0011921227669176</v>
      </c>
      <c r="Y336" s="160">
        <f t="shared" si="187"/>
        <v>-4.880450129210321E-2</v>
      </c>
      <c r="Z336" s="98" t="str">
        <f t="shared" si="177"/>
        <v>0,999810672094813+0,0189188118484087i</v>
      </c>
      <c r="AA336" s="160">
        <f t="shared" si="188"/>
        <v>0.9999896506846645</v>
      </c>
      <c r="AB336" s="160">
        <f t="shared" si="189"/>
        <v>1.8920136438782483E-2</v>
      </c>
      <c r="AC336" s="171" t="str">
        <f t="shared" si="190"/>
        <v>-0,0716230650373424-1,4248039855003i</v>
      </c>
      <c r="AD336" s="190">
        <f t="shared" si="191"/>
        <v>3.0860629599903753</v>
      </c>
      <c r="AE336" s="169">
        <f t="shared" si="192"/>
        <v>-92.877762843032372</v>
      </c>
      <c r="AF336" s="98" t="str">
        <f t="shared" si="178"/>
        <v>-0,0000375877424711299</v>
      </c>
      <c r="AG336" s="98" t="str">
        <f t="shared" si="179"/>
        <v>0,0000963361561306076i</v>
      </c>
      <c r="AH336" s="98">
        <f t="shared" si="193"/>
        <v>9.6336156130607595E-5</v>
      </c>
      <c r="AI336" s="98">
        <f t="shared" si="194"/>
        <v>1.5707963267948966</v>
      </c>
      <c r="AJ336" s="98" t="str">
        <f t="shared" si="180"/>
        <v>1+0,0878711422175572i</v>
      </c>
      <c r="AK336" s="98">
        <f t="shared" si="195"/>
        <v>1.00385324506853</v>
      </c>
      <c r="AL336" s="98">
        <f t="shared" si="196"/>
        <v>8.7646023313156032E-2</v>
      </c>
      <c r="AM336" s="98" t="str">
        <f t="shared" si="181"/>
        <v>1+6,84718977433736i</v>
      </c>
      <c r="AN336" s="98">
        <f t="shared" si="197"/>
        <v>6.9198271514388363</v>
      </c>
      <c r="AO336" s="98">
        <f t="shared" si="198"/>
        <v>1.4257762657895723</v>
      </c>
      <c r="AP336" s="168" t="str">
        <f t="shared" si="199"/>
        <v>-2,617094434634+0,620139822168064i</v>
      </c>
      <c r="AQ336" s="98">
        <f t="shared" si="200"/>
        <v>8.5936389635008119</v>
      </c>
      <c r="AR336" s="169">
        <f t="shared" si="201"/>
        <v>166.66921533271611</v>
      </c>
      <c r="AS336" s="168" t="str">
        <f t="shared" si="202"/>
        <v>1,07102201509316+3,68443026608179i</v>
      </c>
      <c r="AT336" s="190">
        <f t="shared" si="203"/>
        <v>11.679701923491187</v>
      </c>
      <c r="AU336" s="169">
        <f t="shared" si="204"/>
        <v>73.791452489683792</v>
      </c>
      <c r="AV336" s="225"/>
      <c r="AX336">
        <f t="shared" si="205"/>
        <v>0</v>
      </c>
      <c r="AY336">
        <f t="shared" si="206"/>
        <v>0</v>
      </c>
    </row>
    <row r="337" spans="14:51" x14ac:dyDescent="0.25">
      <c r="N337" s="170">
        <v>19</v>
      </c>
      <c r="O337" s="199">
        <f t="shared" si="208"/>
        <v>15488.166189124853</v>
      </c>
      <c r="P337" s="189" t="str">
        <f t="shared" si="173"/>
        <v>120,833333333333</v>
      </c>
      <c r="Q337" s="160" t="str">
        <f t="shared" si="174"/>
        <v>1+86,7725579259098i</v>
      </c>
      <c r="R337" s="160">
        <f t="shared" si="182"/>
        <v>86.778319924998385</v>
      </c>
      <c r="S337" s="160">
        <f t="shared" si="183"/>
        <v>1.5592724561498668</v>
      </c>
      <c r="T337" s="160" t="str">
        <f t="shared" si="175"/>
        <v>1+0,00583890109407988i</v>
      </c>
      <c r="U337" s="160">
        <f t="shared" si="184"/>
        <v>1.0000170462377063</v>
      </c>
      <c r="V337" s="160">
        <f t="shared" si="185"/>
        <v>5.8388347406743042E-3</v>
      </c>
      <c r="W337" s="98" t="str">
        <f t="shared" si="176"/>
        <v>1-0,0499809933653238i</v>
      </c>
      <c r="X337" s="160">
        <f t="shared" si="186"/>
        <v>1.0012482707589485</v>
      </c>
      <c r="Y337" s="160">
        <f t="shared" si="187"/>
        <v>-4.9939436467387646E-2</v>
      </c>
      <c r="Z337" s="98" t="str">
        <f t="shared" si="177"/>
        <v>0,999801749345536+0,0193594875867547i</v>
      </c>
      <c r="AA337" s="160">
        <f t="shared" si="188"/>
        <v>0.9999891638182965</v>
      </c>
      <c r="AB337" s="160">
        <f t="shared" si="189"/>
        <v>1.9360906904892533E-2</v>
      </c>
      <c r="AC337" s="171" t="str">
        <f t="shared" si="190"/>
        <v>-0,0723796254134113-1,39233385889754i</v>
      </c>
      <c r="AD337" s="190">
        <f t="shared" si="191"/>
        <v>2.8865881332091603</v>
      </c>
      <c r="AE337" s="169">
        <f t="shared" si="192"/>
        <v>-92.975807454509166</v>
      </c>
      <c r="AF337" s="98" t="str">
        <f t="shared" si="178"/>
        <v>-0,0000375877424711299</v>
      </c>
      <c r="AG337" s="98" t="str">
        <f t="shared" si="179"/>
        <v>0,0000985801134717156i</v>
      </c>
      <c r="AH337" s="98">
        <f t="shared" si="193"/>
        <v>9.8580113471715607E-5</v>
      </c>
      <c r="AI337" s="98">
        <f t="shared" si="194"/>
        <v>1.5707963267948966</v>
      </c>
      <c r="AJ337" s="98" t="str">
        <f t="shared" si="180"/>
        <v>1+0,089917924054932i</v>
      </c>
      <c r="AK337" s="98">
        <f t="shared" si="195"/>
        <v>1.0040344780267003</v>
      </c>
      <c r="AL337" s="98">
        <f t="shared" si="196"/>
        <v>8.9676757121900624E-2</v>
      </c>
      <c r="AM337" s="98" t="str">
        <f t="shared" si="181"/>
        <v>1+7,00668131289587i</v>
      </c>
      <c r="AN337" s="98">
        <f t="shared" si="197"/>
        <v>7.0776820372551486</v>
      </c>
      <c r="AO337" s="98">
        <f t="shared" si="198"/>
        <v>1.4290327735728254</v>
      </c>
      <c r="AP337" s="168" t="str">
        <f t="shared" si="199"/>
        <v>-2,61614972412944+0,616530081134814i</v>
      </c>
      <c r="AQ337" s="98">
        <f t="shared" si="200"/>
        <v>8.5879870124777664</v>
      </c>
      <c r="AR337" s="169">
        <f t="shared" si="201"/>
        <v>166.73944700809244</v>
      </c>
      <c r="AS337" s="168" t="str">
        <f t="shared" si="202"/>
        <v>1,04777164405074+3,59792962452224i</v>
      </c>
      <c r="AT337" s="190">
        <f t="shared" si="203"/>
        <v>11.474575145686927</v>
      </c>
      <c r="AU337" s="169">
        <f t="shared" si="204"/>
        <v>73.763639553583218</v>
      </c>
      <c r="AV337" s="225"/>
      <c r="AX337">
        <f t="shared" si="205"/>
        <v>0</v>
      </c>
      <c r="AY337">
        <f t="shared" si="206"/>
        <v>0</v>
      </c>
    </row>
    <row r="338" spans="14:51" x14ac:dyDescent="0.25">
      <c r="N338" s="170">
        <v>20</v>
      </c>
      <c r="O338" s="199">
        <f t="shared" si="208"/>
        <v>15848.931924611146</v>
      </c>
      <c r="P338" s="189" t="str">
        <f t="shared" si="173"/>
        <v>120,833333333333</v>
      </c>
      <c r="Q338" s="160" t="str">
        <f t="shared" si="174"/>
        <v>1+88,7937504478592i</v>
      </c>
      <c r="R338" s="160">
        <f t="shared" si="182"/>
        <v>88.799381296249436</v>
      </c>
      <c r="S338" s="160">
        <f t="shared" si="183"/>
        <v>1.5595347490349631</v>
      </c>
      <c r="T338" s="160" t="str">
        <f t="shared" si="175"/>
        <v>1+0,00597490657219236i</v>
      </c>
      <c r="U338" s="160">
        <f t="shared" si="184"/>
        <v>1.0000178495949692</v>
      </c>
      <c r="V338" s="160">
        <f t="shared" si="185"/>
        <v>5.9748354733058584E-3</v>
      </c>
      <c r="W338" s="98" t="str">
        <f t="shared" si="176"/>
        <v>1-0,0511452002579666i</v>
      </c>
      <c r="X338" s="160">
        <f t="shared" si="186"/>
        <v>1.0013070615497663</v>
      </c>
      <c r="Y338" s="160">
        <f t="shared" si="187"/>
        <v>-5.1100674378291883E-2</v>
      </c>
      <c r="Z338" s="98" t="str">
        <f t="shared" si="177"/>
        <v>0,99979240608004+0,0198104279816723i</v>
      </c>
      <c r="AA338" s="160">
        <f t="shared" si="188"/>
        <v>0.99998865409170157</v>
      </c>
      <c r="AB338" s="160">
        <f t="shared" si="189"/>
        <v>1.9811948801703498E-2</v>
      </c>
      <c r="AC338" s="171" t="str">
        <f t="shared" si="190"/>
        <v>-0,0731021338203906-1,36060118041769i</v>
      </c>
      <c r="AD338" s="190">
        <f t="shared" si="191"/>
        <v>2.6871354937143455</v>
      </c>
      <c r="AE338" s="169">
        <f t="shared" si="192"/>
        <v>-93.075420290207262</v>
      </c>
      <c r="AF338" s="98" t="str">
        <f t="shared" si="178"/>
        <v>-0,0000375877424711299</v>
      </c>
      <c r="AG338" s="98" t="str">
        <f t="shared" si="179"/>
        <v>0,000100876339293848i</v>
      </c>
      <c r="AH338" s="98">
        <f t="shared" si="193"/>
        <v>1.00876339293848E-4</v>
      </c>
      <c r="AI338" s="98">
        <f t="shared" si="194"/>
        <v>1.5707963267948966</v>
      </c>
      <c r="AJ338" s="98" t="str">
        <f t="shared" si="180"/>
        <v>1+0,0920123815658448i</v>
      </c>
      <c r="AK338" s="98">
        <f t="shared" si="195"/>
        <v>1.0042242171753371</v>
      </c>
      <c r="AL338" s="98">
        <f t="shared" si="196"/>
        <v>9.1754025213209023E-2</v>
      </c>
      <c r="AM338" s="98" t="str">
        <f t="shared" si="181"/>
        <v>1+7,16988788663084i</v>
      </c>
      <c r="AN338" s="98">
        <f t="shared" si="197"/>
        <v>7.2392881077393012</v>
      </c>
      <c r="AO338" s="98">
        <f t="shared" si="198"/>
        <v>1.4322180818697263</v>
      </c>
      <c r="AP338" s="168" t="str">
        <f t="shared" si="199"/>
        <v>-2,61516122152407+0,613239290823516i</v>
      </c>
      <c r="AQ338" s="98">
        <f t="shared" si="200"/>
        <v>8.5824419915065349</v>
      </c>
      <c r="AR338" s="169">
        <f t="shared" si="201"/>
        <v>166.80293303540373</v>
      </c>
      <c r="AS338" s="168" t="str">
        <f t="shared" si="202"/>
        <v>1,02554796855073+3,51336234428652i</v>
      </c>
      <c r="AT338" s="190">
        <f t="shared" si="203"/>
        <v>11.269577485220887</v>
      </c>
      <c r="AU338" s="169">
        <f t="shared" si="204"/>
        <v>73.727512745196492</v>
      </c>
      <c r="AV338" s="225"/>
      <c r="AX338">
        <f t="shared" si="205"/>
        <v>0</v>
      </c>
      <c r="AY338">
        <f t="shared" si="206"/>
        <v>0</v>
      </c>
    </row>
    <row r="339" spans="14:51" x14ac:dyDescent="0.25">
      <c r="N339" s="170">
        <v>21</v>
      </c>
      <c r="O339" s="199">
        <f t="shared" si="208"/>
        <v>16218.100973589309</v>
      </c>
      <c r="P339" s="189" t="str">
        <f t="shared" ref="P339:P402" si="209">COMPLEX(Adc,0)</f>
        <v>120,833333333333</v>
      </c>
      <c r="Q339" s="160" t="str">
        <f t="shared" ref="Q339:Q402" si="210">IMSUM(COMPLEX(1,0),IMDIV(COMPLEX(0,2*PI()*O339),COMPLEX(wp_lf,0)))</f>
        <v>1+90,8620225916201i</v>
      </c>
      <c r="R339" s="160">
        <f t="shared" si="182"/>
        <v>90.86752527410485</v>
      </c>
      <c r="S339" s="160">
        <f t="shared" si="183"/>
        <v>1.5597910729024396</v>
      </c>
      <c r="T339" s="160" t="str">
        <f t="shared" ref="T339:T402" si="211">IMSUM(COMPLEX(1,0),IMDIV(COMPLEX(0,2*PI()*O339),COMPLEX(wz_esr,0)))</f>
        <v>1+0,00611408002485665i</v>
      </c>
      <c r="U339" s="160">
        <f t="shared" si="184"/>
        <v>1.0000186908126019</v>
      </c>
      <c r="V339" s="160">
        <f t="shared" si="185"/>
        <v>6.1140038411040864E-3</v>
      </c>
      <c r="W339" s="98" t="str">
        <f t="shared" ref="W339:W402" si="212">IMSUB(COMPLEX(1,0),IMDIV(COMPLEX(0,2*PI()*O339),COMPLEX(wz_rhp,0)))</f>
        <v>1-0,0523365250127729i</v>
      </c>
      <c r="X339" s="160">
        <f t="shared" si="186"/>
        <v>1.0013686193657221</v>
      </c>
      <c r="Y339" s="160">
        <f t="shared" si="187"/>
        <v>-5.2288818194226573E-2</v>
      </c>
      <c r="Z339" s="98" t="str">
        <f t="shared" ref="Z339:Z402" si="213">IF(Dc_Mode_Loop="CCM",IMSUM(COMPLEX(1,0),IMDIV(COMPLEX(0,2*PI()*O339),COMPLEX(Q*(wsl/2),0)),IMDIV(IMPOWER(COMPLEX(0,2*PI()*O339),2),IMPOWER(COMPLEX(wsl/2,0),2))),COMPLEX(1,0))</f>
        <v>0,999782622480009+0,0202718721277278i</v>
      </c>
      <c r="AA339" s="160">
        <f t="shared" si="188"/>
        <v>0.99998812043572149</v>
      </c>
      <c r="AB339" s="160">
        <f t="shared" si="189"/>
        <v>2.0273501708172992E-2</v>
      </c>
      <c r="AC339" s="171" t="str">
        <f t="shared" si="190"/>
        <v>-0,0737921215988438-1,32958917731236i</v>
      </c>
      <c r="AD339" s="190">
        <f t="shared" si="191"/>
        <v>2.4877061941349328</v>
      </c>
      <c r="AE339" s="169">
        <f t="shared" si="192"/>
        <v>-93.176653465555887</v>
      </c>
      <c r="AF339" s="98" t="str">
        <f t="shared" ref="AF339:AF402" si="214">COMPLEX(Adc_ea,0)</f>
        <v>-0,0000375877424711299</v>
      </c>
      <c r="AG339" s="98" t="str">
        <f t="shared" ref="AG339:AG402" si="215">COMPLEX(0,2*PI()*O339*wp0_ea)</f>
        <v>0,00010322605108633i</v>
      </c>
      <c r="AH339" s="98">
        <f t="shared" si="193"/>
        <v>1.0322605108632999E-4</v>
      </c>
      <c r="AI339" s="98">
        <f t="shared" si="194"/>
        <v>1.5707963267948966</v>
      </c>
      <c r="AJ339" s="98" t="str">
        <f t="shared" ref="AJ339:AJ402" si="216">IMSUM(COMPLEX(1,0),IMDIV(COMPLEX(0,2*PI()*O339),COMPLEX(wp1_ea,0)))</f>
        <v>1+0,0941556252593916i</v>
      </c>
      <c r="AK339" s="98">
        <f t="shared" si="195"/>
        <v>1.0044228600385332</v>
      </c>
      <c r="AL339" s="98">
        <f t="shared" si="196"/>
        <v>9.3878857234466997E-2</v>
      </c>
      <c r="AM339" s="98" t="str">
        <f t="shared" ref="AM339:AM402" si="217">IMSUM(COMPLEX(1,0),IMDIV(COMPLEX(0,2*PI()*O339),COMPLEX(wz_ea,0)))</f>
        <v>1+7,33689602982799i</v>
      </c>
      <c r="AN339" s="98">
        <f t="shared" si="197"/>
        <v>7.4047311465377144</v>
      </c>
      <c r="AO339" s="98">
        <f t="shared" si="198"/>
        <v>1.4353336208875689</v>
      </c>
      <c r="AP339" s="168" t="str">
        <f t="shared" si="199"/>
        <v>-2,61412693255114+0,610265148078652i</v>
      </c>
      <c r="AQ339" s="98">
        <f t="shared" si="200"/>
        <v>8.5769927031201156</v>
      </c>
      <c r="AR339" s="169">
        <f t="shared" si="201"/>
        <v>166.85969636504208</v>
      </c>
      <c r="AS339" s="168" t="str">
        <f t="shared" si="202"/>
        <v>1,00430390865793+3,4306821176262i</v>
      </c>
      <c r="AT339" s="190">
        <f t="shared" si="203"/>
        <v>11.064698897255056</v>
      </c>
      <c r="AU339" s="169">
        <f t="shared" si="204"/>
        <v>73.683042899486139</v>
      </c>
      <c r="AV339" s="225"/>
      <c r="AX339">
        <f t="shared" si="205"/>
        <v>0</v>
      </c>
      <c r="AY339">
        <f t="shared" si="206"/>
        <v>0</v>
      </c>
    </row>
    <row r="340" spans="14:51" x14ac:dyDescent="0.25">
      <c r="N340" s="170">
        <v>22</v>
      </c>
      <c r="O340" s="199">
        <f t="shared" si="208"/>
        <v>16595.869074375616</v>
      </c>
      <c r="P340" s="189" t="str">
        <f t="shared" si="209"/>
        <v>120,833333333333</v>
      </c>
      <c r="Q340" s="160" t="str">
        <f t="shared" si="210"/>
        <v>1+92,9784709824607i</v>
      </c>
      <c r="R340" s="160">
        <f t="shared" ref="R340:R403" si="218">IMABS(Q340)</f>
        <v>92.983848415928065</v>
      </c>
      <c r="S340" s="160">
        <f t="shared" ref="S340:S403" si="219">IMARGUMENT(Q340)</f>
        <v>1.5600415635237985</v>
      </c>
      <c r="T340" s="160" t="str">
        <f t="shared" si="211"/>
        <v>1+0,00625649524367957i</v>
      </c>
      <c r="U340" s="160">
        <f t="shared" ref="U340:U403" si="220">IMABS(T340)</f>
        <v>1.0000195716748419</v>
      </c>
      <c r="V340" s="160">
        <f t="shared" ref="V340:V403" si="221">IMARGUMENT(T340)</f>
        <v>6.2564136114042395E-3</v>
      </c>
      <c r="W340" s="98" t="str">
        <f t="shared" si="212"/>
        <v>1-0,0535555992858971i</v>
      </c>
      <c r="X340" s="160">
        <f t="shared" ref="X340:X403" si="222">IMABS(W340)</f>
        <v>1.0014330742565234</v>
      </c>
      <c r="Y340" s="160">
        <f t="shared" ref="Y340:Y403" si="223">IMARGUMENT(W340)</f>
        <v>-5.3504484458870835E-2</v>
      </c>
      <c r="Z340" s="98" t="str">
        <f t="shared" si="213"/>
        <v>0,999772377793113+0,0207440646887155i</v>
      </c>
      <c r="AA340" s="160">
        <f t="shared" ref="AA340:AA403" si="224">IMABS(Z340)</f>
        <v>0.99998756173159709</v>
      </c>
      <c r="AB340" s="160">
        <f t="shared" ref="AB340:AB403" si="225">IMARGUMENT(Z340)</f>
        <v>2.0745810807119128E-2</v>
      </c>
      <c r="AC340" s="171" t="str">
        <f t="shared" ref="AC340:AC403" si="226">(IMDIV(IMPRODUCT(P340,T340,W340),IMPRODUCT(Q340,Z340)))</f>
        <v>-0,0744510512135878-1,29928145544628i</v>
      </c>
      <c r="AD340" s="190">
        <f t="shared" ref="AD340:AD403" si="227">20*LOG(IMABS(AC340))</f>
        <v>2.2883014358038278</v>
      </c>
      <c r="AE340" s="169">
        <f t="shared" ref="AE340:AE403" si="228">(180/PI())*IMARGUMENT(AC340)</f>
        <v>-93.279559906423515</v>
      </c>
      <c r="AF340" s="98" t="str">
        <f t="shared" si="214"/>
        <v>-0,0000375877424711299</v>
      </c>
      <c r="AG340" s="98" t="str">
        <f t="shared" si="215"/>
        <v>0,000105630494697457i</v>
      </c>
      <c r="AH340" s="98">
        <f t="shared" ref="AH340:AH403" si="229">IMABS(AG340)</f>
        <v>1.0563049469745701E-4</v>
      </c>
      <c r="AI340" s="98">
        <f t="shared" ref="AI340:AI403" si="230">IMARGUMENT(AG340)</f>
        <v>1.5707963267948966</v>
      </c>
      <c r="AJ340" s="98" t="str">
        <f t="shared" si="216"/>
        <v>1+0,0963487915117485i</v>
      </c>
      <c r="AK340" s="98">
        <f t="shared" ref="AK340:AK403" si="231">IMABS(AJ340)</f>
        <v>1.0046308225541232</v>
      </c>
      <c r="AL340" s="98">
        <f t="shared" ref="AL340:AL403" si="232">IMARGUMENT(AJ340)</f>
        <v>9.6052303009959081E-2</v>
      </c>
      <c r="AM340" s="98" t="str">
        <f t="shared" si="217"/>
        <v>1+7,50779429241549i</v>
      </c>
      <c r="AN340" s="98">
        <f t="shared" ref="AN340:AN403" si="233">IMABS(AM340)</f>
        <v>7.5740989653705091</v>
      </c>
      <c r="AO340" s="98">
        <f t="shared" ref="AO340:AO403" si="234">IMARGUMENT(AM340)</f>
        <v>1.4383808004692291</v>
      </c>
      <c r="AP340" s="168" t="str">
        <f t="shared" ref="AP340:AP403" si="235">IMPRODUCT(AF340,IMDIV(AM340,IMPRODUCT(AG340,AJ340)))</f>
        <v>-2,61304477553801+0,607605478864295i</v>
      </c>
      <c r="AQ340" s="98">
        <f t="shared" ref="AQ340:AQ403" si="236">20*LOG(IMABS(AP340))</f>
        <v>8.5716281199291178</v>
      </c>
      <c r="AR340" s="169">
        <f t="shared" ref="AR340:AR403" si="237">(180/PI())*IMARGUMENT(AP340)</f>
        <v>166.90975762455344</v>
      </c>
      <c r="AS340" s="168" t="str">
        <f t="shared" ref="AS340:AS403" si="238">IMPRODUCT(AC340,AP340)</f>
        <v>0,983994461322913+3,34984375248274i</v>
      </c>
      <c r="AT340" s="190">
        <f t="shared" ref="AT340:AT403" si="239">20*LOG(IMABS(AS340))</f>
        <v>10.859929555732942</v>
      </c>
      <c r="AU340" s="169">
        <f t="shared" ref="AU340:AU403" si="240">(180/PI())*IMARGUMENT(AS340)</f>
        <v>73.630197718129921</v>
      </c>
      <c r="AV340" s="225"/>
      <c r="AX340">
        <f t="shared" ref="AX340:AX403" si="241">SUM((AT341&lt;0)*(AT340&gt;0))*O340</f>
        <v>0</v>
      </c>
      <c r="AY340">
        <f t="shared" ref="AY340:AY403" si="242">IF(AX340&gt;0,AU340,0)</f>
        <v>0</v>
      </c>
    </row>
    <row r="341" spans="14:51" x14ac:dyDescent="0.25">
      <c r="N341" s="170">
        <v>23</v>
      </c>
      <c r="O341" s="199">
        <f t="shared" si="208"/>
        <v>16982.436524617482</v>
      </c>
      <c r="P341" s="189" t="str">
        <f t="shared" si="209"/>
        <v>120,833333333333</v>
      </c>
      <c r="Q341" s="160" t="str">
        <f t="shared" si="210"/>
        <v>1+95,1442177893321i</v>
      </c>
      <c r="R341" s="160">
        <f t="shared" si="218"/>
        <v>95.149472824308688</v>
      </c>
      <c r="S341" s="160">
        <f t="shared" si="219"/>
        <v>1.5602863535866733</v>
      </c>
      <c r="T341" s="160" t="str">
        <f t="shared" si="211"/>
        <v>1+0,00640222773909521i</v>
      </c>
      <c r="U341" s="160">
        <f t="shared" si="220"/>
        <v>1.0000204940500086</v>
      </c>
      <c r="V341" s="160">
        <f t="shared" si="221"/>
        <v>6.4021402686330791E-3</v>
      </c>
      <c r="W341" s="98" t="str">
        <f t="shared" si="212"/>
        <v>1-0,054803069446655i</v>
      </c>
      <c r="X341" s="160">
        <f t="shared" si="222"/>
        <v>1.0015005623666793</v>
      </c>
      <c r="Y341" s="160">
        <f t="shared" si="223"/>
        <v>-5.4748303353893212E-2</v>
      </c>
      <c r="Z341" s="98" t="str">
        <f t="shared" si="213"/>
        <v>0,999761650288998+0,0212272560273813i</v>
      </c>
      <c r="AA341" s="160">
        <f t="shared" si="224"/>
        <v>0.99998697680871462</v>
      </c>
      <c r="AB341" s="160">
        <f t="shared" si="225"/>
        <v>2.122912701741949E-2</v>
      </c>
      <c r="AC341" s="171" t="str">
        <f t="shared" si="226"/>
        <v>-0,0750803193465124-1,2696619908378i</v>
      </c>
      <c r="AD341" s="190">
        <f t="shared" si="227"/>
        <v>2.0889224712286358</v>
      </c>
      <c r="AE341" s="169">
        <f t="shared" si="228"/>
        <v>-93.384193373655108</v>
      </c>
      <c r="AF341" s="98" t="str">
        <f t="shared" si="214"/>
        <v>-0,0000375877424711299</v>
      </c>
      <c r="AG341" s="98" t="str">
        <f t="shared" si="215"/>
        <v>0,000108090944995057i</v>
      </c>
      <c r="AH341" s="98">
        <f t="shared" si="229"/>
        <v>1.08090944995057E-4</v>
      </c>
      <c r="AI341" s="98">
        <f t="shared" si="230"/>
        <v>1.5707963267948966</v>
      </c>
      <c r="AJ341" s="98" t="str">
        <f t="shared" si="216"/>
        <v>1+0,0985930431686922i</v>
      </c>
      <c r="AK341" s="98">
        <f t="shared" si="231"/>
        <v>1.0048485399109977</v>
      </c>
      <c r="AL341" s="98">
        <f t="shared" si="232"/>
        <v>9.8275432747616034E-2</v>
      </c>
      <c r="AM341" s="98" t="str">
        <f t="shared" si="217"/>
        <v>1+7,68267328691426i</v>
      </c>
      <c r="AN341" s="98">
        <f t="shared" si="233"/>
        <v>7.747481450992054</v>
      </c>
      <c r="AO341" s="98">
        <f t="shared" si="234"/>
        <v>1.4413610097982377</v>
      </c>
      <c r="AP341" s="168" t="str">
        <f t="shared" si="235"/>
        <v>-2,61191257790249+0,605258234477292i</v>
      </c>
      <c r="AQ341" s="98">
        <f t="shared" si="236"/>
        <v>8.5663373654908437</v>
      </c>
      <c r="AR341" s="169">
        <f t="shared" si="237"/>
        <v>166.95313508989332</v>
      </c>
      <c r="AS341" s="168" t="str">
        <f t="shared" si="238"/>
        <v>0,964576605411502+3,2708031420223i</v>
      </c>
      <c r="AT341" s="190">
        <f t="shared" si="239"/>
        <v>10.655259836719468</v>
      </c>
      <c r="AU341" s="169">
        <f t="shared" si="240"/>
        <v>73.5689417162382</v>
      </c>
      <c r="AV341" s="225"/>
      <c r="AX341">
        <f t="shared" si="241"/>
        <v>0</v>
      </c>
      <c r="AY341">
        <f t="shared" si="242"/>
        <v>0</v>
      </c>
    </row>
    <row r="342" spans="14:51" x14ac:dyDescent="0.25">
      <c r="N342" s="170">
        <v>24</v>
      </c>
      <c r="O342" s="199">
        <f t="shared" si="208"/>
        <v>17378.008287493791</v>
      </c>
      <c r="P342" s="189" t="str">
        <f t="shared" si="209"/>
        <v>120,833333333333</v>
      </c>
      <c r="Q342" s="160" t="str">
        <f t="shared" si="210"/>
        <v>1+97,3604113198568i</v>
      </c>
      <c r="R342" s="160">
        <f t="shared" si="218"/>
        <v>97.365546742015994</v>
      </c>
      <c r="S342" s="160">
        <f t="shared" si="219"/>
        <v>1.560525572764581</v>
      </c>
      <c r="T342" s="160" t="str">
        <f t="shared" si="211"/>
        <v>1+0,00655135478040155i</v>
      </c>
      <c r="U342" s="160">
        <f t="shared" si="220"/>
        <v>1.0000214598944659</v>
      </c>
      <c r="V342" s="160">
        <f t="shared" si="221"/>
        <v>6.551261054221367E-3</v>
      </c>
      <c r="W342" s="98" t="str">
        <f t="shared" si="212"/>
        <v>1-0,0560795969202373i</v>
      </c>
      <c r="X342" s="160">
        <f t="shared" si="222"/>
        <v>1.0015712262194518</v>
      </c>
      <c r="Y342" s="160">
        <f t="shared" si="223"/>
        <v>-5.602091896545721E-2</v>
      </c>
      <c r="Z342" s="98" t="str">
        <f t="shared" si="213"/>
        <v>0,99975041721319+0,0217217023381686i</v>
      </c>
      <c r="AA342" s="160">
        <f t="shared" si="224"/>
        <v>0.99998636444224343</v>
      </c>
      <c r="AB342" s="160">
        <f t="shared" si="225"/>
        <v>2.1723707129409544E-2</v>
      </c>
      <c r="AC342" s="171" t="str">
        <f t="shared" si="226"/>
        <v>-0,0756812598506799-1,24071512138013i</v>
      </c>
      <c r="AD342" s="190">
        <f t="shared" si="227"/>
        <v>1.8895706066639293</v>
      </c>
      <c r="AE342" s="169">
        <f t="shared" si="228"/>
        <v>-93.490608487809126</v>
      </c>
      <c r="AF342" s="98" t="str">
        <f t="shared" si="214"/>
        <v>-0,0000375877424711299</v>
      </c>
      <c r="AG342" s="98" t="str">
        <f t="shared" si="215"/>
        <v>0,000110608706542446i</v>
      </c>
      <c r="AH342" s="98">
        <f t="shared" si="229"/>
        <v>1.10608706542446E-4</v>
      </c>
      <c r="AI342" s="98">
        <f t="shared" si="230"/>
        <v>1.5707963267948966</v>
      </c>
      <c r="AJ342" s="98" t="str">
        <f t="shared" si="216"/>
        <v>1+0,100889570162156i</v>
      </c>
      <c r="AK342" s="98">
        <f t="shared" si="231"/>
        <v>1.0050764674230039</v>
      </c>
      <c r="AL342" s="98">
        <f t="shared" si="232"/>
        <v>0.10054933723282929</v>
      </c>
      <c r="AM342" s="98" t="str">
        <f t="shared" si="217"/>
        <v>1+7,86162573648187i</v>
      </c>
      <c r="AN342" s="98">
        <f t="shared" si="233"/>
        <v>7.9249706132271625</v>
      </c>
      <c r="AO342" s="98">
        <f t="shared" si="234"/>
        <v>1.4442756171554327</v>
      </c>
      <c r="AP342" s="168" t="str">
        <f t="shared" si="235"/>
        <v>-2,61072807254043+0,603221487654846i</v>
      </c>
      <c r="AQ342" s="98">
        <f t="shared" si="236"/>
        <v>8.5611096952793915</v>
      </c>
      <c r="AR342" s="169">
        <f t="shared" si="237"/>
        <v>166.98984466037979</v>
      </c>
      <c r="AS342" s="168" t="str">
        <f t="shared" si="238"/>
        <v>0,946009210932182+3,19351723525779i</v>
      </c>
      <c r="AT342" s="190">
        <f t="shared" si="239"/>
        <v>10.450680301943311</v>
      </c>
      <c r="AU342" s="169">
        <f t="shared" si="240"/>
        <v>73.499236172570633</v>
      </c>
      <c r="AV342" s="225"/>
      <c r="AX342">
        <f t="shared" si="241"/>
        <v>0</v>
      </c>
      <c r="AY342">
        <f t="shared" si="242"/>
        <v>0</v>
      </c>
    </row>
    <row r="343" spans="14:51" x14ac:dyDescent="0.25">
      <c r="N343" s="170">
        <v>25</v>
      </c>
      <c r="O343" s="199">
        <f t="shared" si="208"/>
        <v>17782.794100389234</v>
      </c>
      <c r="P343" s="189" t="str">
        <f t="shared" si="209"/>
        <v>120,833333333333</v>
      </c>
      <c r="Q343" s="160" t="str">
        <f t="shared" si="210"/>
        <v>1+99,6282266291808i</v>
      </c>
      <c r="R343" s="160">
        <f t="shared" si="218"/>
        <v>99.633245160816713</v>
      </c>
      <c r="S343" s="160">
        <f t="shared" si="219"/>
        <v>1.5607593477851176</v>
      </c>
      <c r="T343" s="160" t="str">
        <f t="shared" si="211"/>
        <v>1+0,00670395543672989i</v>
      </c>
      <c r="U343" s="160">
        <f t="shared" si="220"/>
        <v>1.0000224712567702</v>
      </c>
      <c r="V343" s="160">
        <f t="shared" si="221"/>
        <v>6.7038550074403E-3</v>
      </c>
      <c r="W343" s="98" t="str">
        <f t="shared" si="212"/>
        <v>1-0,0573858585384079i</v>
      </c>
      <c r="X343" s="160">
        <f t="shared" si="222"/>
        <v>1.0016452150138742</v>
      </c>
      <c r="Y343" s="160">
        <f t="shared" si="223"/>
        <v>-5.7322989553344708E-2</v>
      </c>
      <c r="Z343" s="98" t="str">
        <f t="shared" si="213"/>
        <v>0,999738654738829+0,0222276657830563i</v>
      </c>
      <c r="AA343" s="160">
        <f t="shared" si="224"/>
        <v>0.99998572335067204</v>
      </c>
      <c r="AB343" s="160">
        <f t="shared" si="225"/>
        <v>2.2229813943562597E-2</v>
      </c>
      <c r="AC343" s="171" t="str">
        <f t="shared" si="226"/>
        <v>-0,076255146571894-1,21242553873977i</v>
      </c>
      <c r="AD343" s="190">
        <f t="shared" si="227"/>
        <v>1.6902472047884052</v>
      </c>
      <c r="AE343" s="169">
        <f t="shared" si="228"/>
        <v>-93.598860754090651</v>
      </c>
      <c r="AF343" s="98" t="str">
        <f t="shared" si="214"/>
        <v>-0,0000375877424711299</v>
      </c>
      <c r="AG343" s="98" t="str">
        <f t="shared" si="215"/>
        <v>0,000113185114290124i</v>
      </c>
      <c r="AH343" s="98">
        <f t="shared" si="229"/>
        <v>1.13185114290124E-4</v>
      </c>
      <c r="AI343" s="98">
        <f t="shared" si="230"/>
        <v>1.5707963267948966</v>
      </c>
      <c r="AJ343" s="98" t="str">
        <f t="shared" si="216"/>
        <v>1+0,103239590141151i</v>
      </c>
      <c r="AK343" s="98">
        <f t="shared" si="231"/>
        <v>1.0053150814408949</v>
      </c>
      <c r="AL343" s="98">
        <f t="shared" si="232"/>
        <v>0.10287512800789153</v>
      </c>
      <c r="AM343" s="98" t="str">
        <f t="shared" si="217"/>
        <v>1+8,04474652407587i</v>
      </c>
      <c r="AN343" s="98">
        <f t="shared" si="233"/>
        <v>8.1066606341101277</v>
      </c>
      <c r="AO343" s="98">
        <f t="shared" si="234"/>
        <v>1.447125969723617</v>
      </c>
      <c r="AP343" s="168" t="str">
        <f t="shared" si="235"/>
        <v>-2,60948889410491+0,601493428564228i</v>
      </c>
      <c r="AQ343" s="98">
        <f t="shared" si="236"/>
        <v>8.5559344777480462</v>
      </c>
      <c r="AR343" s="169">
        <f t="shared" si="237"/>
        <v>167.01989983721958</v>
      </c>
      <c r="AS343" s="168" t="str">
        <f t="shared" si="238"/>
        <v>0,928252952273115+3,1179440087134i</v>
      </c>
      <c r="AT343" s="190">
        <f t="shared" si="239"/>
        <v>10.246181682536461</v>
      </c>
      <c r="AU343" s="169">
        <f t="shared" si="240"/>
        <v>73.42103908312896</v>
      </c>
      <c r="AV343" s="225"/>
      <c r="AX343">
        <f t="shared" si="241"/>
        <v>0</v>
      </c>
      <c r="AY343">
        <f t="shared" si="242"/>
        <v>0</v>
      </c>
    </row>
    <row r="344" spans="14:51" x14ac:dyDescent="0.25">
      <c r="N344" s="170">
        <v>26</v>
      </c>
      <c r="O344" s="199">
        <f t="shared" si="208"/>
        <v>18197.008586099837</v>
      </c>
      <c r="P344" s="189" t="str">
        <f t="shared" si="209"/>
        <v>120,833333333333</v>
      </c>
      <c r="Q344" s="160" t="str">
        <f t="shared" si="210"/>
        <v>1+101,948866143i</v>
      </c>
      <c r="R344" s="160">
        <f t="shared" si="218"/>
        <v>101.95377044446828</v>
      </c>
      <c r="S344" s="160">
        <f t="shared" si="219"/>
        <v>1.5609878024966268</v>
      </c>
      <c r="T344" s="160" t="str">
        <f t="shared" si="211"/>
        <v>1+0,00686011061896817i</v>
      </c>
      <c r="U344" s="160">
        <f t="shared" si="220"/>
        <v>1.0000235302820153</v>
      </c>
      <c r="V344" s="160">
        <f t="shared" si="221"/>
        <v>6.8600030071823172E-3</v>
      </c>
      <c r="W344" s="98" t="str">
        <f t="shared" si="212"/>
        <v>1-0,0587225468983675i</v>
      </c>
      <c r="X344" s="160">
        <f t="shared" si="222"/>
        <v>1.0017226849354222</v>
      </c>
      <c r="Y344" s="160">
        <f t="shared" si="223"/>
        <v>-5.8655187822503833E-2</v>
      </c>
      <c r="Z344" s="98" t="str">
        <f t="shared" si="213"/>
        <v>0,99972633791613+0,0227454146305602i</v>
      </c>
      <c r="AA344" s="160">
        <f t="shared" si="224"/>
        <v>0.99998505219323763</v>
      </c>
      <c r="AB344" s="160">
        <f t="shared" si="225"/>
        <v>2.2747716412536173E-2</v>
      </c>
      <c r="AC344" s="171" t="str">
        <f t="shared" si="226"/>
        <v>-0,0768031960436578-1,18477828042913i</v>
      </c>
      <c r="AD344" s="190">
        <f t="shared" si="227"/>
        <v>1.490953687494021</v>
      </c>
      <c r="AE344" s="169">
        <f t="shared" si="228"/>
        <v>-93.709006587474434</v>
      </c>
      <c r="AF344" s="98" t="str">
        <f t="shared" si="214"/>
        <v>-0,0000375877424711299</v>
      </c>
      <c r="AG344" s="98" t="str">
        <f t="shared" si="215"/>
        <v>0,00011582153428358i</v>
      </c>
      <c r="AH344" s="98">
        <f t="shared" si="229"/>
        <v>1.1582153428358E-4</v>
      </c>
      <c r="AI344" s="98">
        <f t="shared" si="230"/>
        <v>1.5707963267948966</v>
      </c>
      <c r="AJ344" s="98" t="str">
        <f t="shared" si="216"/>
        <v>1+0,105644349117377i</v>
      </c>
      <c r="AK344" s="98">
        <f t="shared" si="231"/>
        <v>1.0055648803038193</v>
      </c>
      <c r="AL344" s="98">
        <f t="shared" si="232"/>
        <v>0.10525393753550931</v>
      </c>
      <c r="AM344" s="98" t="str">
        <f t="shared" si="217"/>
        <v>1+8,23213274276181i</v>
      </c>
      <c r="AN344" s="98">
        <f t="shared" si="233"/>
        <v>8.2926479181532269</v>
      </c>
      <c r="AO344" s="98">
        <f t="shared" si="234"/>
        <v>1.4499133934368127</v>
      </c>
      <c r="AP344" s="168" t="str">
        <f t="shared" si="235"/>
        <v>-2,60819257517708+0,600072360661488i</v>
      </c>
      <c r="AQ344" s="98">
        <f t="shared" si="236"/>
        <v>8.5508011754717863</v>
      </c>
      <c r="AR344" s="169">
        <f t="shared" si="237"/>
        <v>167.04331170550233</v>
      </c>
      <c r="AS344" s="168" t="str">
        <f t="shared" si="238"/>
        <v>0,911270225268504+3,04404243909006i</v>
      </c>
      <c r="AT344" s="190">
        <f t="shared" si="239"/>
        <v>10.041754862965806</v>
      </c>
      <c r="AU344" s="169">
        <f t="shared" si="240"/>
        <v>73.334305118027913</v>
      </c>
      <c r="AV344" s="225"/>
      <c r="AX344">
        <f t="shared" si="241"/>
        <v>0</v>
      </c>
      <c r="AY344">
        <f t="shared" si="242"/>
        <v>0</v>
      </c>
    </row>
    <row r="345" spans="14:51" x14ac:dyDescent="0.25">
      <c r="N345" s="170">
        <v>27</v>
      </c>
      <c r="O345" s="199">
        <f t="shared" si="208"/>
        <v>18620.871366628675</v>
      </c>
      <c r="P345" s="189" t="str">
        <f t="shared" si="209"/>
        <v>120,833333333333</v>
      </c>
      <c r="Q345" s="160" t="str">
        <f t="shared" si="210"/>
        <v>1+104,3235602951i</v>
      </c>
      <c r="R345" s="160">
        <f t="shared" si="218"/>
        <v>104.32835296622565</v>
      </c>
      <c r="S345" s="160">
        <f t="shared" si="219"/>
        <v>1.5612110579333782</v>
      </c>
      <c r="T345" s="160" t="str">
        <f t="shared" si="211"/>
        <v>1+0,00701990312266091i</v>
      </c>
      <c r="U345" s="160">
        <f t="shared" si="220"/>
        <v>1.0000246392163803</v>
      </c>
      <c r="V345" s="160">
        <f t="shared" si="221"/>
        <v>7.0197878147083385E-3</v>
      </c>
      <c r="W345" s="98" t="str">
        <f t="shared" si="212"/>
        <v>1-0,0600903707299774i</v>
      </c>
      <c r="X345" s="160">
        <f t="shared" si="222"/>
        <v>1.0018037994809492</v>
      </c>
      <c r="Y345" s="160">
        <f t="shared" si="223"/>
        <v>-6.001820119681707E-2</v>
      </c>
      <c r="Z345" s="98" t="str">
        <f t="shared" si="213"/>
        <v>0,999713440619461+0,0232752233979724i</v>
      </c>
      <c r="AA345" s="160">
        <f t="shared" si="224"/>
        <v>0.99998434956724502</v>
      </c>
      <c r="AB345" s="160">
        <f t="shared" si="225"/>
        <v>2.3277689786673977E-2</v>
      </c>
      <c r="AC345" s="171" t="str">
        <f t="shared" si="226"/>
        <v>-0,0773265700611834-1,15775872204987i</v>
      </c>
      <c r="AD345" s="190">
        <f t="shared" si="227"/>
        <v>1.2916915387911823</v>
      </c>
      <c r="AE345" s="169">
        <f t="shared" si="228"/>
        <v>-93.821103338012506</v>
      </c>
      <c r="AF345" s="98" t="str">
        <f t="shared" si="214"/>
        <v>-0,0000375877424711299</v>
      </c>
      <c r="AG345" s="98" t="str">
        <f t="shared" si="215"/>
        <v>0,000118519364387592i</v>
      </c>
      <c r="AH345" s="98">
        <f t="shared" si="229"/>
        <v>1.1851936438759199E-4</v>
      </c>
      <c r="AI345" s="98">
        <f t="shared" si="230"/>
        <v>1.5707963267948966</v>
      </c>
      <c r="AJ345" s="98" t="str">
        <f t="shared" si="216"/>
        <v>1+0,108105122125874i</v>
      </c>
      <c r="AK345" s="98">
        <f t="shared" si="231"/>
        <v>1.0058263853319072</v>
      </c>
      <c r="AL345" s="98">
        <f t="shared" si="232"/>
        <v>0.10768691934474645</v>
      </c>
      <c r="AM345" s="98" t="str">
        <f t="shared" si="217"/>
        <v>1+8,4238837471931i</v>
      </c>
      <c r="AN345" s="98">
        <f t="shared" si="233"/>
        <v>8.4830311437730828</v>
      </c>
      <c r="AO345" s="98">
        <f t="shared" si="234"/>
        <v>1.4526391928709077</v>
      </c>
      <c r="AP345" s="168" t="str">
        <f t="shared" si="235"/>
        <v>-2,60683654232947+0,598956696405472i</v>
      </c>
      <c r="AQ345" s="98">
        <f t="shared" si="236"/>
        <v>8.5456993263576795</v>
      </c>
      <c r="AR345" s="169">
        <f t="shared" si="237"/>
        <v>167.06008891957367</v>
      </c>
      <c r="AS345" s="168" t="str">
        <f t="shared" si="238"/>
        <v>0,895025067922104+2,97177247689206i</v>
      </c>
      <c r="AT345" s="190">
        <f t="shared" si="239"/>
        <v>9.8373908651488726</v>
      </c>
      <c r="AU345" s="169">
        <f t="shared" si="240"/>
        <v>73.238985581561181</v>
      </c>
      <c r="AV345" s="225"/>
      <c r="AX345">
        <f t="shared" si="241"/>
        <v>0</v>
      </c>
      <c r="AY345">
        <f t="shared" si="242"/>
        <v>0</v>
      </c>
    </row>
    <row r="346" spans="14:51" x14ac:dyDescent="0.25">
      <c r="N346" s="170">
        <v>28</v>
      </c>
      <c r="O346" s="199">
        <f t="shared" si="208"/>
        <v>19054.607179632505</v>
      </c>
      <c r="P346" s="189" t="str">
        <f t="shared" si="209"/>
        <v>120,833333333333</v>
      </c>
      <c r="Q346" s="160" t="str">
        <f t="shared" si="210"/>
        <v>1+106,753568179756i</v>
      </c>
      <c r="R346" s="160">
        <f t="shared" si="218"/>
        <v>106.75825176120961</v>
      </c>
      <c r="S346" s="160">
        <f t="shared" si="219"/>
        <v>1.5614292323792871</v>
      </c>
      <c r="T346" s="160" t="str">
        <f t="shared" si="211"/>
        <v>1+0,00718341767190875i</v>
      </c>
      <c r="U346" s="160">
        <f t="shared" si="220"/>
        <v>1.000025800411894</v>
      </c>
      <c r="V346" s="160">
        <f t="shared" si="221"/>
        <v>7.1832941173836842E-3</v>
      </c>
      <c r="W346" s="98" t="str">
        <f t="shared" si="212"/>
        <v>1-0,0614900552715389i</v>
      </c>
      <c r="X346" s="160">
        <f t="shared" si="222"/>
        <v>1.0018887297985226</v>
      </c>
      <c r="Y346" s="160">
        <f t="shared" si="223"/>
        <v>-6.1412732094858306E-2</v>
      </c>
      <c r="Z346" s="98" t="str">
        <f t="shared" si="213"/>
        <v>0,999699935491925+0,0238173729969144i</v>
      </c>
      <c r="AA346" s="160">
        <f t="shared" si="224"/>
        <v>0.99998361400526625</v>
      </c>
      <c r="AB346" s="160">
        <f t="shared" si="225"/>
        <v>2.3820015763054637E-2</v>
      </c>
      <c r="AC346" s="171" t="str">
        <f t="shared" si="226"/>
        <v>-0,0778263781398438-1,13135256970341i</v>
      </c>
      <c r="AD346" s="190">
        <f t="shared" si="227"/>
        <v>1.0924623078330664</v>
      </c>
      <c r="AE346" s="169">
        <f t="shared" si="228"/>
        <v>-93.935209316318875</v>
      </c>
      <c r="AF346" s="98" t="str">
        <f t="shared" si="214"/>
        <v>-0,0000375877424711299</v>
      </c>
      <c r="AG346" s="98" t="str">
        <f t="shared" si="215"/>
        <v>0,000121280035027393i</v>
      </c>
      <c r="AH346" s="98">
        <f t="shared" si="229"/>
        <v>1.21280035027393E-4</v>
      </c>
      <c r="AI346" s="98">
        <f t="shared" si="230"/>
        <v>1.5707963267948966</v>
      </c>
      <c r="AJ346" s="98" t="str">
        <f t="shared" si="216"/>
        <v>1+0,110623213901063i</v>
      </c>
      <c r="AK346" s="98">
        <f t="shared" si="231"/>
        <v>1.0061001418615347</v>
      </c>
      <c r="AL346" s="98">
        <f t="shared" si="232"/>
        <v>0.11017524815763476</v>
      </c>
      <c r="AM346" s="98" t="str">
        <f t="shared" si="217"/>
        <v>1+8,6201012062905i</v>
      </c>
      <c r="AN346" s="98">
        <f t="shared" si="233"/>
        <v>8.6779113159037831</v>
      </c>
      <c r="AO346" s="98">
        <f t="shared" si="234"/>
        <v>1.4553046511726482</v>
      </c>
      <c r="AP346" s="168" t="str">
        <f t="shared" si="235"/>
        <v>-2,60541811208361+0,598144952813088i</v>
      </c>
      <c r="AQ346" s="98">
        <f t="shared" si="236"/>
        <v>8.5406185249120714</v>
      </c>
      <c r="AR346" s="169">
        <f t="shared" si="237"/>
        <v>167.07023769171229</v>
      </c>
      <c r="AS346" s="168" t="str">
        <f t="shared" si="238"/>
        <v>0,879483084623629+2,90109502097753i</v>
      </c>
      <c r="AT346" s="190">
        <f t="shared" si="239"/>
        <v>9.63308083274514</v>
      </c>
      <c r="AU346" s="169">
        <f t="shared" si="240"/>
        <v>73.135028375393418</v>
      </c>
      <c r="AV346" s="225"/>
      <c r="AX346">
        <f t="shared" si="241"/>
        <v>0</v>
      </c>
      <c r="AY346">
        <f t="shared" si="242"/>
        <v>0</v>
      </c>
    </row>
    <row r="347" spans="14:51" x14ac:dyDescent="0.25">
      <c r="N347" s="170">
        <v>29</v>
      </c>
      <c r="O347" s="199">
        <f t="shared" si="208"/>
        <v>19498.445997580486</v>
      </c>
      <c r="P347" s="189" t="str">
        <f t="shared" si="209"/>
        <v>120,833333333333</v>
      </c>
      <c r="Q347" s="160" t="str">
        <f t="shared" si="210"/>
        <v>1+109,240178219309i</v>
      </c>
      <c r="R347" s="160">
        <f t="shared" si="218"/>
        <v>109.24475519395149</v>
      </c>
      <c r="S347" s="160">
        <f t="shared" si="219"/>
        <v>1.5616424414302035</v>
      </c>
      <c r="T347" s="160" t="str">
        <f t="shared" si="211"/>
        <v>1+0,00735074096428991i</v>
      </c>
      <c r="U347" s="160">
        <f t="shared" si="220"/>
        <v>1.0000270163314209</v>
      </c>
      <c r="V347" s="160">
        <f t="shared" si="221"/>
        <v>7.3506085734242211E-3</v>
      </c>
      <c r="W347" s="98" t="str">
        <f t="shared" si="212"/>
        <v>1-0,0629223426543216i</v>
      </c>
      <c r="X347" s="160">
        <f t="shared" si="222"/>
        <v>1.0019776550428197</v>
      </c>
      <c r="Y347" s="160">
        <f t="shared" si="223"/>
        <v>-6.2839498207376901E-2</v>
      </c>
      <c r="Z347" s="98" t="str">
        <f t="shared" si="213"/>
        <v>0,999685793887338+0,0243721508822792i</v>
      </c>
      <c r="AA347" s="160">
        <f t="shared" si="224"/>
        <v>0.99998284397222825</v>
      </c>
      <c r="AB347" s="160">
        <f t="shared" si="225"/>
        <v>2.4374982638179058E-2</v>
      </c>
      <c r="AC347" s="171" t="str">
        <f t="shared" si="226"/>
        <v>-0,0783036798632581-1,10554585256608i</v>
      </c>
      <c r="AD347" s="190">
        <f t="shared" si="227"/>
        <v>0.89326761206975069</v>
      </c>
      <c r="AE347" s="169">
        <f t="shared" si="228"/>
        <v>-94.051383819221513</v>
      </c>
      <c r="AF347" s="98" t="str">
        <f t="shared" si="214"/>
        <v>-0,0000375877424711299</v>
      </c>
      <c r="AG347" s="98" t="str">
        <f t="shared" si="215"/>
        <v>0,000124105009947095i</v>
      </c>
      <c r="AH347" s="98">
        <f t="shared" si="229"/>
        <v>1.2410500994709499E-4</v>
      </c>
      <c r="AI347" s="98">
        <f t="shared" si="230"/>
        <v>1.5707963267948966</v>
      </c>
      <c r="AJ347" s="98" t="str">
        <f t="shared" si="216"/>
        <v>1+0,113199959568532i</v>
      </c>
      <c r="AK347" s="98">
        <f t="shared" si="231"/>
        <v>1.0063867203249044</v>
      </c>
      <c r="AL347" s="98">
        <f t="shared" si="232"/>
        <v>0.11272011999457111</v>
      </c>
      <c r="AM347" s="98" t="str">
        <f t="shared" si="217"/>
        <v>1+8,8208891571479i</v>
      </c>
      <c r="AN347" s="98">
        <f t="shared" si="233"/>
        <v>8.877391819824636</v>
      </c>
      <c r="AO347" s="98">
        <f t="shared" si="234"/>
        <v>1.4579110300240861</v>
      </c>
      <c r="AP347" s="168" t="str">
        <f t="shared" si="235"/>
        <v>-2,60393448676341+0,597635746840768i</v>
      </c>
      <c r="AQ347" s="98">
        <f t="shared" si="236"/>
        <v>8.5355484035493454</v>
      </c>
      <c r="AR347" s="169">
        <f t="shared" si="237"/>
        <v>167.07376178405366</v>
      </c>
      <c r="AS347" s="168" t="str">
        <f t="shared" si="238"/>
        <v>0,864611373701462+2,83197189399961i</v>
      </c>
      <c r="AT347" s="190">
        <f t="shared" si="239"/>
        <v>9.4288160156190877</v>
      </c>
      <c r="AU347" s="169">
        <f t="shared" si="240"/>
        <v>73.022377964832131</v>
      </c>
      <c r="AV347" s="225"/>
      <c r="AX347">
        <f t="shared" si="241"/>
        <v>0</v>
      </c>
      <c r="AY347">
        <f t="shared" si="242"/>
        <v>0</v>
      </c>
    </row>
    <row r="348" spans="14:51" x14ac:dyDescent="0.25">
      <c r="N348" s="170">
        <v>30</v>
      </c>
      <c r="O348" s="199">
        <f t="shared" si="208"/>
        <v>19952.623149688792</v>
      </c>
      <c r="P348" s="189" t="str">
        <f t="shared" si="209"/>
        <v>120,833333333333</v>
      </c>
      <c r="Q348" s="160" t="str">
        <f t="shared" si="210"/>
        <v>1+111,78470884732i</v>
      </c>
      <c r="R348" s="160">
        <f t="shared" si="218"/>
        <v>111.7891816415171</v>
      </c>
      <c r="S348" s="160">
        <f t="shared" si="219"/>
        <v>1.5618507980548073</v>
      </c>
      <c r="T348" s="160" t="str">
        <f t="shared" si="211"/>
        <v>1+0,00752196171682894i</v>
      </c>
      <c r="U348" s="160">
        <f t="shared" si="220"/>
        <v>1.0000282895538852</v>
      </c>
      <c r="V348" s="160">
        <f t="shared" si="221"/>
        <v>7.5218198576772555E-3</v>
      </c>
      <c r="W348" s="98" t="str">
        <f t="shared" si="212"/>
        <v>1-0,0643879922960558i</v>
      </c>
      <c r="X348" s="160">
        <f t="shared" si="222"/>
        <v>1.0020707627467818</v>
      </c>
      <c r="Y348" s="160">
        <f t="shared" si="223"/>
        <v>-6.4299232776237308E-2</v>
      </c>
      <c r="Z348" s="98" t="str">
        <f t="shared" si="213"/>
        <v>0,99967098580946+0,0249398512046455i</v>
      </c>
      <c r="AA348" s="160">
        <f t="shared" si="224"/>
        <v>0.99998203786236439</v>
      </c>
      <c r="AB348" s="160">
        <f t="shared" si="225"/>
        <v>2.4942885464397605E-2</v>
      </c>
      <c r="AC348" s="171" t="str">
        <f t="shared" si="226"/>
        <v>-0,0787594871259101-1,08032491562476i</v>
      </c>
      <c r="AD348" s="190">
        <f t="shared" si="227"/>
        <v>0.69410914053066886</v>
      </c>
      <c r="AE348" s="169">
        <f t="shared" si="228"/>
        <v>-94.169687155573129</v>
      </c>
      <c r="AF348" s="98" t="str">
        <f t="shared" si="214"/>
        <v>-0,0000375877424711299</v>
      </c>
      <c r="AG348" s="98" t="str">
        <f t="shared" si="215"/>
        <v>0,000126995786985796i</v>
      </c>
      <c r="AH348" s="98">
        <f t="shared" si="229"/>
        <v>1.26995786985796E-4</v>
      </c>
      <c r="AI348" s="98">
        <f t="shared" si="230"/>
        <v>1.5707963267948966</v>
      </c>
      <c r="AJ348" s="98" t="str">
        <f t="shared" si="216"/>
        <v>1+0,115836725352943i</v>
      </c>
      <c r="AK348" s="98">
        <f t="shared" si="231"/>
        <v>1.0066867173756158</v>
      </c>
      <c r="AL348" s="98">
        <f t="shared" si="232"/>
        <v>0.11532275225650739</v>
      </c>
      <c r="AM348" s="98" t="str">
        <f t="shared" si="217"/>
        <v>1+9,02635406019474i</v>
      </c>
      <c r="AN348" s="98">
        <f t="shared" si="233"/>
        <v>9.0815784762338563</v>
      </c>
      <c r="AO348" s="98">
        <f t="shared" si="234"/>
        <v>1.460459569639784</v>
      </c>
      <c r="AP348" s="168" t="str">
        <f t="shared" si="235"/>
        <v>-2,60238275024725+0,597427790576568i</v>
      </c>
      <c r="AQ348" s="98">
        <f t="shared" si="236"/>
        <v>8.5304786139295015</v>
      </c>
      <c r="AR348" s="169">
        <f t="shared" si="237"/>
        <v>167.07066250372148</v>
      </c>
      <c r="AS348" s="168" t="str">
        <f t="shared" si="238"/>
        <v>0,850378458161307+2,76436581870362i</v>
      </c>
      <c r="AT348" s="190">
        <f t="shared" si="239"/>
        <v>9.2245877544601846</v>
      </c>
      <c r="AU348" s="169">
        <f t="shared" si="240"/>
        <v>72.90097534814835</v>
      </c>
      <c r="AV348" s="225"/>
      <c r="AX348">
        <f t="shared" si="241"/>
        <v>0</v>
      </c>
      <c r="AY348">
        <f t="shared" si="242"/>
        <v>0</v>
      </c>
    </row>
    <row r="349" spans="14:51" x14ac:dyDescent="0.25">
      <c r="N349" s="170">
        <v>31</v>
      </c>
      <c r="O349" s="199">
        <f t="shared" si="208"/>
        <v>20417.379446695286</v>
      </c>
      <c r="P349" s="189" t="str">
        <f t="shared" si="209"/>
        <v>120,833333333333</v>
      </c>
      <c r="Q349" s="160" t="str">
        <f t="shared" si="210"/>
        <v>1+114,388509207606i</v>
      </c>
      <c r="R349" s="160">
        <f t="shared" si="218"/>
        <v>114.39288019251269</v>
      </c>
      <c r="S349" s="160">
        <f t="shared" si="219"/>
        <v>1.5620544126541351</v>
      </c>
      <c r="T349" s="160" t="str">
        <f t="shared" si="211"/>
        <v>1+0,00769717071303514i</v>
      </c>
      <c r="U349" s="160">
        <f t="shared" si="220"/>
        <v>1.0000296227797383</v>
      </c>
      <c r="V349" s="160">
        <f t="shared" si="221"/>
        <v>7.6970187084586692E-3</v>
      </c>
      <c r="W349" s="98" t="str">
        <f t="shared" si="212"/>
        <v>1-0,0658877813035809i</v>
      </c>
      <c r="X349" s="160">
        <f t="shared" si="222"/>
        <v>1.0021682492102355</v>
      </c>
      <c r="Y349" s="160">
        <f t="shared" si="223"/>
        <v>-6.5792684874487292E-2</v>
      </c>
      <c r="Z349" s="98" t="str">
        <f t="shared" si="213"/>
        <v>0,999655479848372+0,0255207749662384i</v>
      </c>
      <c r="AA349" s="160">
        <f t="shared" si="224"/>
        <v>0.99998119399604535</v>
      </c>
      <c r="AB349" s="160">
        <f t="shared" si="225"/>
        <v>2.5524026210170272E-2</v>
      </c>
      <c r="AC349" s="171" t="str">
        <f t="shared" si="226"/>
        <v>-0,0791947662750563-1,05567641257088i</v>
      </c>
      <c r="AD349" s="190">
        <f t="shared" si="227"/>
        <v>0.49498865724903462</v>
      </c>
      <c r="AE349" s="169">
        <f t="shared" si="228"/>
        <v>-94.2901806722071</v>
      </c>
      <c r="AF349" s="98" t="str">
        <f t="shared" si="214"/>
        <v>-0,0000375877424711299</v>
      </c>
      <c r="AG349" s="98" t="str">
        <f t="shared" si="215"/>
        <v>0,000129953898871744i</v>
      </c>
      <c r="AH349" s="98">
        <f t="shared" si="229"/>
        <v>1.29953898871744E-4</v>
      </c>
      <c r="AI349" s="98">
        <f t="shared" si="230"/>
        <v>1.5707963267948966</v>
      </c>
      <c r="AJ349" s="98" t="str">
        <f t="shared" si="216"/>
        <v>1+0,118534909302417i</v>
      </c>
      <c r="AK349" s="98">
        <f t="shared" si="231"/>
        <v>1.0070007570619459</v>
      </c>
      <c r="AL349" s="98">
        <f t="shared" si="232"/>
        <v>0.11798438378178418</v>
      </c>
      <c r="AM349" s="98" t="str">
        <f t="shared" si="217"/>
        <v>1+9,23660485564218i</v>
      </c>
      <c r="AN349" s="98">
        <f t="shared" si="233"/>
        <v>9.2905795975963041</v>
      </c>
      <c r="AO349" s="98">
        <f t="shared" si="234"/>
        <v>1.4629514887941828</v>
      </c>
      <c r="AP349" s="168" t="str">
        <f t="shared" si="235"/>
        <v>-2,6007598636222+0,597519886226807i</v>
      </c>
      <c r="AQ349" s="98">
        <f t="shared" si="236"/>
        <v>8.5253988083105803</v>
      </c>
      <c r="AR349" s="169">
        <f t="shared" si="237"/>
        <v>167.06093870113901</v>
      </c>
      <c r="AS349" s="168" t="str">
        <f t="shared" si="238"/>
        <v>0,836754219468783+2,69824039505259i</v>
      </c>
      <c r="AT349" s="190">
        <f t="shared" si="239"/>
        <v>9.0203874655596277</v>
      </c>
      <c r="AU349" s="169">
        <f t="shared" si="240"/>
        <v>72.770758028931951</v>
      </c>
      <c r="AV349" s="225"/>
      <c r="AX349">
        <f t="shared" si="241"/>
        <v>0</v>
      </c>
      <c r="AY349">
        <f t="shared" si="242"/>
        <v>0</v>
      </c>
    </row>
    <row r="350" spans="14:51" x14ac:dyDescent="0.25">
      <c r="N350" s="170">
        <v>32</v>
      </c>
      <c r="O350" s="199">
        <f t="shared" si="208"/>
        <v>20892.961308540423</v>
      </c>
      <c r="P350" s="189" t="str">
        <f t="shared" si="209"/>
        <v>120,833333333333</v>
      </c>
      <c r="Q350" s="160" t="str">
        <f t="shared" si="210"/>
        <v>1+117,052959869587i</v>
      </c>
      <c r="R350" s="160">
        <f t="shared" si="218"/>
        <v>117.05723136240299</v>
      </c>
      <c r="S350" s="160">
        <f t="shared" si="219"/>
        <v>1.5622533931197709</v>
      </c>
      <c r="T350" s="160" t="str">
        <f t="shared" si="211"/>
        <v>1+0,00787646085103757i</v>
      </c>
      <c r="U350" s="160">
        <f t="shared" si="220"/>
        <v>1.0000310188366848</v>
      </c>
      <c r="V350" s="160">
        <f t="shared" si="221"/>
        <v>7.8762979754722524E-3</v>
      </c>
      <c r="W350" s="98" t="str">
        <f t="shared" si="212"/>
        <v>1-0,0674225048848816i</v>
      </c>
      <c r="X350" s="160">
        <f t="shared" si="222"/>
        <v>1.0022703199062375</v>
      </c>
      <c r="Y350" s="160">
        <f t="shared" si="223"/>
        <v>-6.7320619687231908E-2</v>
      </c>
      <c r="Z350" s="98" t="str">
        <f t="shared" si="213"/>
        <v>0,999639243113851+0,026115230180526i</v>
      </c>
      <c r="AA350" s="160">
        <f t="shared" si="224"/>
        <v>0.99998031061647163</v>
      </c>
      <c r="AB350" s="160">
        <f t="shared" si="225"/>
        <v>2.6118713924269871E-2</v>
      </c>
      <c r="AC350" s="171" t="str">
        <f t="shared" si="226"/>
        <v>-0,0796104401563854-1,03158729884862i</v>
      </c>
      <c r="AD350" s="190">
        <f t="shared" si="227"/>
        <v>0.29590800482623425</v>
      </c>
      <c r="AE350" s="169">
        <f t="shared" si="228"/>
        <v>-94.412926780027078</v>
      </c>
      <c r="AF350" s="98" t="str">
        <f t="shared" si="214"/>
        <v>-0,0000375877424711299</v>
      </c>
      <c r="AG350" s="98" t="str">
        <f t="shared" si="215"/>
        <v>0,000132980914035018i</v>
      </c>
      <c r="AH350" s="98">
        <f t="shared" si="229"/>
        <v>1.3298091403501799E-4</v>
      </c>
      <c r="AI350" s="98">
        <f t="shared" si="230"/>
        <v>1.5707963267948966</v>
      </c>
      <c r="AJ350" s="98" t="str">
        <f t="shared" si="216"/>
        <v>1+0,121295942029799i</v>
      </c>
      <c r="AK350" s="98">
        <f t="shared" si="231"/>
        <v>1.0073294920495957</v>
      </c>
      <c r="AL350" s="98">
        <f t="shared" si="232"/>
        <v>0.12070627487535945</v>
      </c>
      <c r="AM350" s="98" t="str">
        <f t="shared" si="217"/>
        <v>1+9,45175302124509i</v>
      </c>
      <c r="AN350" s="98">
        <f t="shared" si="233"/>
        <v>9.5045060457982604</v>
      </c>
      <c r="AO350" s="98">
        <f t="shared" si="234"/>
        <v>1.4653879848767455</v>
      </c>
      <c r="AP350" s="168" t="str">
        <f t="shared" si="235"/>
        <v>-2,59906266074442+0,597910920880223i</v>
      </c>
      <c r="AQ350" s="98">
        <f t="shared" si="236"/>
        <v>8.5202986209011264</v>
      </c>
      <c r="AR350" s="169">
        <f t="shared" si="237"/>
        <v>167.04458677151393</v>
      </c>
      <c r="AS350" s="168" t="str">
        <f t="shared" si="238"/>
        <v>0,82370983423881+2,63356007815006i</v>
      </c>
      <c r="AT350" s="190">
        <f t="shared" si="239"/>
        <v>8.8162066257273626</v>
      </c>
      <c r="AU350" s="169">
        <f t="shared" si="240"/>
        <v>72.631659991486842</v>
      </c>
      <c r="AV350" s="225"/>
      <c r="AX350">
        <f t="shared" si="241"/>
        <v>0</v>
      </c>
      <c r="AY350">
        <f t="shared" si="242"/>
        <v>0</v>
      </c>
    </row>
    <row r="351" spans="14:51" x14ac:dyDescent="0.25">
      <c r="N351" s="170">
        <v>33</v>
      </c>
      <c r="O351" s="199">
        <f t="shared" si="208"/>
        <v>21379.620895022348</v>
      </c>
      <c r="P351" s="189" t="str">
        <f t="shared" si="209"/>
        <v>120,833333333333</v>
      </c>
      <c r="Q351" s="160" t="str">
        <f t="shared" si="210"/>
        <v>1+119,779473560268i</v>
      </c>
      <c r="R351" s="160">
        <f t="shared" si="218"/>
        <v>119.78364782546464</v>
      </c>
      <c r="S351" s="160">
        <f t="shared" si="219"/>
        <v>1.5624478448907284</v>
      </c>
      <c r="T351" s="160" t="str">
        <f t="shared" si="211"/>
        <v>1+0,00805992719284042i</v>
      </c>
      <c r="U351" s="160">
        <f t="shared" si="220"/>
        <v>1.0000324806856795</v>
      </c>
      <c r="V351" s="160">
        <f t="shared" si="221"/>
        <v>8.0597526688339777E-3</v>
      </c>
      <c r="W351" s="98" t="str">
        <f t="shared" si="212"/>
        <v>1-0,0689929767707141i</v>
      </c>
      <c r="X351" s="160">
        <f t="shared" si="222"/>
        <v>1.0023771899059177</v>
      </c>
      <c r="Y351" s="160">
        <f t="shared" si="223"/>
        <v>-6.8883818792924392E-2</v>
      </c>
      <c r="Z351" s="98" t="str">
        <f t="shared" si="213"/>
        <v>0,999622241165607+0,0267235320355311i</v>
      </c>
      <c r="AA351" s="160">
        <f t="shared" si="224"/>
        <v>0.99997938588623181</v>
      </c>
      <c r="AB351" s="160">
        <f t="shared" si="225"/>
        <v>2.6727264904029296E-2</v>
      </c>
      <c r="AC351" s="171" t="str">
        <f t="shared" si="226"/>
        <v>-0,080007390067771-1,00804482485508i</v>
      </c>
      <c r="AD351" s="190">
        <f t="shared" si="227"/>
        <v>9.6869108149030478E-2</v>
      </c>
      <c r="AE351" s="169">
        <f t="shared" si="228"/>
        <v>-94.537988980213868</v>
      </c>
      <c r="AF351" s="98" t="str">
        <f t="shared" si="214"/>
        <v>-0,0000375877424711299</v>
      </c>
      <c r="AG351" s="98" t="str">
        <f t="shared" si="215"/>
        <v>0,000136078437439123i</v>
      </c>
      <c r="AH351" s="98">
        <f t="shared" si="229"/>
        <v>1.3607843743912299E-4</v>
      </c>
      <c r="AI351" s="98">
        <f t="shared" si="230"/>
        <v>1.5707963267948966</v>
      </c>
      <c r="AJ351" s="98" t="str">
        <f t="shared" si="216"/>
        <v>1+0,124121287471185i</v>
      </c>
      <c r="AK351" s="98">
        <f t="shared" si="231"/>
        <v>1.0076736048957047</v>
      </c>
      <c r="AL351" s="98">
        <f t="shared" si="232"/>
        <v>0.12348970730801348</v>
      </c>
      <c r="AM351" s="98" t="str">
        <f t="shared" si="217"/>
        <v>1+9,67191263140852i</v>
      </c>
      <c r="AN351" s="98">
        <f t="shared" si="233"/>
        <v>9.7234712911387611</v>
      </c>
      <c r="AO351" s="98">
        <f t="shared" si="234"/>
        <v>1.4677702339725749</v>
      </c>
      <c r="AP351" s="168" t="str">
        <f t="shared" si="235"/>
        <v>-2,59728784371111+0,598599861032159i</v>
      </c>
      <c r="AQ351" s="98">
        <f t="shared" si="236"/>
        <v>8.5151676491992863</v>
      </c>
      <c r="AR351" s="169">
        <f t="shared" si="237"/>
        <v>167.02160065950292</v>
      </c>
      <c r="AS351" s="168" t="str">
        <f t="shared" si="238"/>
        <v>0,811217713702512+2,57029015693588i</v>
      </c>
      <c r="AT351" s="190">
        <f t="shared" si="239"/>
        <v>8.6120367573483101</v>
      </c>
      <c r="AU351" s="169">
        <f t="shared" si="240"/>
        <v>72.483611679289069</v>
      </c>
      <c r="AV351" s="225"/>
      <c r="AX351">
        <f t="shared" si="241"/>
        <v>0</v>
      </c>
      <c r="AY351">
        <f t="shared" si="242"/>
        <v>0</v>
      </c>
    </row>
    <row r="352" spans="14:51" x14ac:dyDescent="0.25">
      <c r="N352" s="170">
        <v>34</v>
      </c>
      <c r="O352" s="199">
        <f t="shared" si="208"/>
        <v>21877.61623949555</v>
      </c>
      <c r="P352" s="189" t="str">
        <f t="shared" si="209"/>
        <v>120,833333333333</v>
      </c>
      <c r="Q352" s="160" t="str">
        <f t="shared" si="210"/>
        <v>1+122,5694959133i</v>
      </c>
      <c r="R352" s="160">
        <f t="shared" si="218"/>
        <v>122.57357516381931</v>
      </c>
      <c r="S352" s="160">
        <f t="shared" si="219"/>
        <v>1.5626378710090572</v>
      </c>
      <c r="T352" s="160" t="str">
        <f t="shared" si="211"/>
        <v>1+0,0082476670147267i</v>
      </c>
      <c r="U352" s="160">
        <f t="shared" si="220"/>
        <v>1.0000340114272044</v>
      </c>
      <c r="V352" s="160">
        <f t="shared" si="221"/>
        <v>8.2474800092280694E-3</v>
      </c>
      <c r="W352" s="98" t="str">
        <f t="shared" si="212"/>
        <v>1-0,0706000296460606i</v>
      </c>
      <c r="X352" s="160">
        <f t="shared" si="222"/>
        <v>1.0024890843226297</v>
      </c>
      <c r="Y352" s="160">
        <f t="shared" si="223"/>
        <v>-7.0483080444680671E-2</v>
      </c>
      <c r="Z352" s="98" t="str">
        <f t="shared" si="213"/>
        <v>0,999604437940229+0,0273460030609492i</v>
      </c>
      <c r="AA352" s="160">
        <f t="shared" si="224"/>
        <v>0.99997841788371156</v>
      </c>
      <c r="AB352" s="160">
        <f t="shared" si="225"/>
        <v>2.735000286774765E-2</v>
      </c>
      <c r="AC352" s="171" t="str">
        <f t="shared" si="226"/>
        <v>-0,0803864576252103-0,985036529288795i</v>
      </c>
      <c r="AD352" s="190">
        <f t="shared" si="227"/>
        <v>-0.10212602173868662</v>
      </c>
      <c r="AE352" s="169">
        <f t="shared" si="228"/>
        <v>-94.665431890533924</v>
      </c>
      <c r="AF352" s="98" t="str">
        <f t="shared" si="214"/>
        <v>-0,0000375877424711299</v>
      </c>
      <c r="AG352" s="98" t="str">
        <f t="shared" si="215"/>
        <v>0,000139248111431969i</v>
      </c>
      <c r="AH352" s="98">
        <f t="shared" si="229"/>
        <v>1.39248111431969E-4</v>
      </c>
      <c r="AI352" s="98">
        <f t="shared" si="230"/>
        <v>1.5707963267948966</v>
      </c>
      <c r="AJ352" s="98" t="str">
        <f t="shared" si="216"/>
        <v>1+0,127012443662129i</v>
      </c>
      <c r="AK352" s="98">
        <f t="shared" si="231"/>
        <v>1.008033809375968</v>
      </c>
      <c r="AL352" s="98">
        <f t="shared" si="232"/>
        <v>0.12633598428299003</v>
      </c>
      <c r="AM352" s="98" t="str">
        <f t="shared" si="217"/>
        <v>1+9,89720041767205i</v>
      </c>
      <c r="AN352" s="98">
        <f t="shared" si="233"/>
        <v>9.9475914726916592</v>
      </c>
      <c r="AO352" s="98">
        <f t="shared" si="234"/>
        <v>1.470099390966392</v>
      </c>
      <c r="AP352" s="168" t="str">
        <f t="shared" si="235"/>
        <v>-2,59543197825004+0,599585746850491i</v>
      </c>
      <c r="AQ352" s="98">
        <f t="shared" si="236"/>
        <v>8.5099954353040879</v>
      </c>
      <c r="AR352" s="169">
        <f t="shared" si="237"/>
        <v>166.99197186708059</v>
      </c>
      <c r="AS352" s="168" t="str">
        <f t="shared" si="238"/>
        <v>0,79925144582735+2,50839673362869i</v>
      </c>
      <c r="AT352" s="190">
        <f t="shared" si="239"/>
        <v>8.4078694135653897</v>
      </c>
      <c r="AU352" s="169">
        <f t="shared" si="240"/>
        <v>72.32653997654667</v>
      </c>
      <c r="AV352" s="225"/>
      <c r="AX352">
        <f t="shared" si="241"/>
        <v>0</v>
      </c>
      <c r="AY352">
        <f t="shared" si="242"/>
        <v>0</v>
      </c>
    </row>
    <row r="353" spans="14:51" x14ac:dyDescent="0.25">
      <c r="N353" s="170">
        <v>35</v>
      </c>
      <c r="O353" s="199">
        <f t="shared" si="208"/>
        <v>22387.211385683382</v>
      </c>
      <c r="P353" s="189" t="str">
        <f t="shared" si="209"/>
        <v>120,833333333333</v>
      </c>
      <c r="Q353" s="160" t="str">
        <f t="shared" si="210"/>
        <v>1+125,424506235464i</v>
      </c>
      <c r="R353" s="160">
        <f t="shared" si="218"/>
        <v>125.42849263389058</v>
      </c>
      <c r="S353" s="160">
        <f t="shared" si="219"/>
        <v>1.5628235721741941</v>
      </c>
      <c r="T353" s="160" t="str">
        <f t="shared" si="211"/>
        <v>1+0,00843977985883492i</v>
      </c>
      <c r="U353" s="160">
        <f t="shared" si="220"/>
        <v>1.0000356143078433</v>
      </c>
      <c r="V353" s="160">
        <f t="shared" si="221"/>
        <v>8.4395794792183655E-3</v>
      </c>
      <c r="W353" s="98" t="str">
        <f t="shared" si="212"/>
        <v>1-0,072244515591627i</v>
      </c>
      <c r="X353" s="160">
        <f t="shared" si="222"/>
        <v>1.0026062387762551</v>
      </c>
      <c r="Y353" s="160">
        <f t="shared" si="223"/>
        <v>-7.2119219851159572E-2</v>
      </c>
      <c r="Z353" s="98" t="str">
        <f t="shared" si="213"/>
        <v>0,999585795674688+0,0279829732991572i</v>
      </c>
      <c r="AA353" s="160">
        <f t="shared" si="224"/>
        <v>0.99997740459935403</v>
      </c>
      <c r="AB353" s="160">
        <f t="shared" si="225"/>
        <v>2.7987259131364621E-2</v>
      </c>
      <c r="AC353" s="171" t="str">
        <f t="shared" si="226"/>
        <v>-0,0807484465448803-0,962550232643903i</v>
      </c>
      <c r="AD353" s="190">
        <f t="shared" si="227"/>
        <v>-0.30107528360051328</v>
      </c>
      <c r="AE353" s="169">
        <f t="shared" si="228"/>
        <v>-94.795321271729591</v>
      </c>
      <c r="AF353" s="98" t="str">
        <f t="shared" si="214"/>
        <v>-0,0000375877424711299</v>
      </c>
      <c r="AG353" s="98" t="str">
        <f t="shared" si="215"/>
        <v>0,000142491616616664i</v>
      </c>
      <c r="AH353" s="98">
        <f t="shared" si="229"/>
        <v>1.4249161661666399E-4</v>
      </c>
      <c r="AI353" s="98">
        <f t="shared" si="230"/>
        <v>1.5707963267948966</v>
      </c>
      <c r="AJ353" s="98" t="str">
        <f t="shared" si="216"/>
        <v>1+0,12997094353191i</v>
      </c>
      <c r="AK353" s="98">
        <f t="shared" si="231"/>
        <v>1.0084108518667254</v>
      </c>
      <c r="AL353" s="98">
        <f t="shared" si="232"/>
        <v>0.1292464303673341</v>
      </c>
      <c r="AM353" s="98" t="str">
        <f t="shared" si="217"/>
        <v>1+10,1277358306019i</v>
      </c>
      <c r="AN353" s="98">
        <f t="shared" si="233"/>
        <v>10.176985460069083</v>
      </c>
      <c r="AO353" s="98">
        <f t="shared" si="234"/>
        <v>1.4723765896678374</v>
      </c>
      <c r="AP353" s="168" t="str">
        <f t="shared" si="235"/>
        <v>-2,59349148903387+0,600867686164317i</v>
      </c>
      <c r="AQ353" s="98">
        <f t="shared" si="236"/>
        <v>8.5047714471849734</v>
      </c>
      <c r="AR353" s="169">
        <f t="shared" si="237"/>
        <v>166.95568946465281</v>
      </c>
      <c r="AS353" s="168" t="str">
        <f t="shared" si="238"/>
        <v>0,78778573997252+2,44784670389275i</v>
      </c>
      <c r="AT353" s="190">
        <f t="shared" si="239"/>
        <v>8.2036961635844659</v>
      </c>
      <c r="AU353" s="169">
        <f t="shared" si="240"/>
        <v>72.160368192923229</v>
      </c>
      <c r="AV353" s="225"/>
      <c r="AX353">
        <f t="shared" si="241"/>
        <v>0</v>
      </c>
      <c r="AY353">
        <f t="shared" si="242"/>
        <v>0</v>
      </c>
    </row>
    <row r="354" spans="14:51" x14ac:dyDescent="0.25">
      <c r="N354" s="170">
        <v>36</v>
      </c>
      <c r="O354" s="199">
        <f t="shared" si="208"/>
        <v>22908.676527677751</v>
      </c>
      <c r="P354" s="189" t="str">
        <f t="shared" si="209"/>
        <v>120,833333333333</v>
      </c>
      <c r="Q354" s="160" t="str">
        <f t="shared" si="210"/>
        <v>1+128,346018291025i</v>
      </c>
      <c r="R354" s="160">
        <f t="shared" si="218"/>
        <v>128.34991395073126</v>
      </c>
      <c r="S354" s="160">
        <f t="shared" si="219"/>
        <v>1.5630050467960943</v>
      </c>
      <c r="T354" s="160" t="str">
        <f t="shared" si="211"/>
        <v>1+0,00863636758593808i</v>
      </c>
      <c r="U354" s="160">
        <f t="shared" si="220"/>
        <v>1.0000372927271661</v>
      </c>
      <c r="V354" s="160">
        <f t="shared" si="221"/>
        <v>8.6361528757430053E-3</v>
      </c>
      <c r="W354" s="98" t="str">
        <f t="shared" si="212"/>
        <v>1-0,07392730653563i</v>
      </c>
      <c r="X354" s="160">
        <f t="shared" si="222"/>
        <v>1.0027288998785329</v>
      </c>
      <c r="Y354" s="160">
        <f t="shared" si="223"/>
        <v>-7.3793069456536395E-2</v>
      </c>
      <c r="Z354" s="98" t="str">
        <f t="shared" si="213"/>
        <v>0,99956627482624+0,0286347804802072i</v>
      </c>
      <c r="AA354" s="160">
        <f t="shared" si="224"/>
        <v>0.99997634393177315</v>
      </c>
      <c r="AB354" s="160">
        <f t="shared" si="225"/>
        <v>2.8639372789524508E-2</v>
      </c>
      <c r="AC354" s="171" t="str">
        <f t="shared" si="226"/>
        <v>-0,0810941243450688-0,940574030846842i</v>
      </c>
      <c r="AD354" s="190">
        <f t="shared" si="227"/>
        <v>-0.49997648180319626</v>
      </c>
      <c r="AE354" s="169">
        <f t="shared" si="228"/>
        <v>-94.927724053970934</v>
      </c>
      <c r="AF354" s="98" t="str">
        <f t="shared" si="214"/>
        <v>-0,0000375877424711299</v>
      </c>
      <c r="AG354" s="98" t="str">
        <f t="shared" si="215"/>
        <v>0,000145810672742588i</v>
      </c>
      <c r="AH354" s="98">
        <f t="shared" si="229"/>
        <v>1.45810672742588E-4</v>
      </c>
      <c r="AI354" s="98">
        <f t="shared" si="230"/>
        <v>1.5707963267948966</v>
      </c>
      <c r="AJ354" s="98" t="str">
        <f t="shared" si="216"/>
        <v>1+0,132998355716322i</v>
      </c>
      <c r="AK354" s="98">
        <f t="shared" si="231"/>
        <v>1.0088055127839286</v>
      </c>
      <c r="AL354" s="98">
        <f t="shared" si="232"/>
        <v>0.13222239138509762</v>
      </c>
      <c r="AM354" s="98" t="str">
        <f t="shared" si="217"/>
        <v>1+10,3636411031257i</v>
      </c>
      <c r="AN354" s="98">
        <f t="shared" si="233"/>
        <v>10.411774916621875</v>
      </c>
      <c r="AO354" s="98">
        <f t="shared" si="234"/>
        <v>1.4746029429562342</v>
      </c>
      <c r="AP354" s="168" t="str">
        <f t="shared" si="235"/>
        <v>-2,59146265492799+0,602444848155919i</v>
      </c>
      <c r="AQ354" s="98">
        <f t="shared" si="236"/>
        <v>8.4994850598971734</v>
      </c>
      <c r="AR354" s="169">
        <f t="shared" si="237"/>
        <v>166.91274010546971</v>
      </c>
      <c r="AS354" s="168" t="str">
        <f t="shared" si="238"/>
        <v>0,776796373967259+2,38860773770728i</v>
      </c>
      <c r="AT354" s="190">
        <f t="shared" si="239"/>
        <v>7.9995085780939927</v>
      </c>
      <c r="AU354" s="169">
        <f t="shared" si="240"/>
        <v>71.985016051498789</v>
      </c>
      <c r="AV354" s="225"/>
      <c r="AX354">
        <f t="shared" si="241"/>
        <v>0</v>
      </c>
      <c r="AY354">
        <f t="shared" si="242"/>
        <v>0</v>
      </c>
    </row>
    <row r="355" spans="14:51" x14ac:dyDescent="0.25">
      <c r="N355" s="170">
        <v>37</v>
      </c>
      <c r="O355" s="199">
        <f t="shared" si="208"/>
        <v>23442.288153199243</v>
      </c>
      <c r="P355" s="189" t="str">
        <f t="shared" si="209"/>
        <v>120,833333333333</v>
      </c>
      <c r="Q355" s="160" t="str">
        <f t="shared" si="210"/>
        <v>1+131,335581104343i</v>
      </c>
      <c r="R355" s="160">
        <f t="shared" si="218"/>
        <v>131.33938809060845</v>
      </c>
      <c r="S355" s="160">
        <f t="shared" si="219"/>
        <v>1.5631823910471649</v>
      </c>
      <c r="T355" s="160" t="str">
        <f t="shared" si="211"/>
        <v>1+0,0088375344294511i</v>
      </c>
      <c r="U355" s="160">
        <f t="shared" si="220"/>
        <v>1.000039050244935</v>
      </c>
      <c r="V355" s="160">
        <f t="shared" si="221"/>
        <v>8.8373043638172478E-3</v>
      </c>
      <c r="W355" s="98" t="str">
        <f t="shared" si="212"/>
        <v>1-0,0756492947161015i</v>
      </c>
      <c r="X355" s="160">
        <f t="shared" si="222"/>
        <v>1.0028573257403286</v>
      </c>
      <c r="Y355" s="160">
        <f t="shared" si="223"/>
        <v>-7.5505479219032501E-2</v>
      </c>
      <c r="Z355" s="98" t="str">
        <f t="shared" si="213"/>
        <v>0,999545833988547+0,0293017702008938i</v>
      </c>
      <c r="AA355" s="160">
        <f t="shared" si="224"/>
        <v>0.99997523368369778</v>
      </c>
      <c r="AB355" s="160">
        <f t="shared" si="225"/>
        <v>2.930669090114724E-2</v>
      </c>
      <c r="AC355" s="171" t="str">
        <f t="shared" si="226"/>
        <v>-0,0814242239715659-0,919096289032782i</v>
      </c>
      <c r="AD355" s="190">
        <f t="shared" si="227"/>
        <v>-0.69882732193529518</v>
      </c>
      <c r="AE355" s="169">
        <f t="shared" si="228"/>
        <v>-95.062708363345394</v>
      </c>
      <c r="AF355" s="98" t="str">
        <f t="shared" si="214"/>
        <v>-0,0000375877424711299</v>
      </c>
      <c r="AG355" s="98" t="str">
        <f t="shared" si="215"/>
        <v>0,000149207039617233i</v>
      </c>
      <c r="AH355" s="98">
        <f t="shared" si="229"/>
        <v>1.4920703961723299E-4</v>
      </c>
      <c r="AI355" s="98">
        <f t="shared" si="230"/>
        <v>1.5707963267948966</v>
      </c>
      <c r="AJ355" s="98" t="str">
        <f t="shared" si="216"/>
        <v>1+0,136096285389375i</v>
      </c>
      <c r="AK355" s="98">
        <f t="shared" si="231"/>
        <v>1.0092186080809185</v>
      </c>
      <c r="AL355" s="98">
        <f t="shared" si="232"/>
        <v>0.13526523426933729</v>
      </c>
      <c r="AM355" s="98" t="str">
        <f t="shared" si="217"/>
        <v>1+10,6050413153413i</v>
      </c>
      <c r="AN355" s="98">
        <f t="shared" si="233"/>
        <v>10.652084364109022</v>
      </c>
      <c r="AO355" s="98">
        <f t="shared" si="234"/>
        <v>1.4767795429430215</v>
      </c>
      <c r="AP355" s="168" t="str">
        <f t="shared" si="235"/>
        <v>-2,58934160418111+0,604316456735548i</v>
      </c>
      <c r="AQ355" s="98">
        <f t="shared" si="236"/>
        <v>8.4941255367282213</v>
      </c>
      <c r="AR355" s="169">
        <f t="shared" si="237"/>
        <v>166.8631080434125</v>
      </c>
      <c r="AS355" s="168" t="str">
        <f t="shared" si="238"/>
        <v>0,766260143504818+2,33064826091811i</v>
      </c>
      <c r="AT355" s="190">
        <f t="shared" si="239"/>
        <v>7.7952982147929228</v>
      </c>
      <c r="AU355" s="169">
        <f t="shared" si="240"/>
        <v>71.800399680067088</v>
      </c>
      <c r="AV355" s="225"/>
      <c r="AX355">
        <f t="shared" si="241"/>
        <v>0</v>
      </c>
      <c r="AY355">
        <f t="shared" si="242"/>
        <v>0</v>
      </c>
    </row>
    <row r="356" spans="14:51" x14ac:dyDescent="0.25">
      <c r="N356" s="170">
        <v>38</v>
      </c>
      <c r="O356" s="199">
        <f t="shared" si="208"/>
        <v>23988.329190194923</v>
      </c>
      <c r="P356" s="189" t="str">
        <f t="shared" si="209"/>
        <v>120,833333333333</v>
      </c>
      <c r="Q356" s="160" t="str">
        <f t="shared" si="210"/>
        <v>1+134,394779781195i</v>
      </c>
      <c r="R356" s="160">
        <f t="shared" si="218"/>
        <v>134.39850011230001</v>
      </c>
      <c r="S356" s="160">
        <f t="shared" si="219"/>
        <v>1.5633556989130286</v>
      </c>
      <c r="T356" s="160" t="str">
        <f t="shared" si="211"/>
        <v>1+0,00904338705069718i</v>
      </c>
      <c r="U356" s="160">
        <f t="shared" si="220"/>
        <v>1.0000408905886542</v>
      </c>
      <c r="V356" s="160">
        <f t="shared" si="221"/>
        <v>9.043140531473438E-3</v>
      </c>
      <c r="W356" s="98" t="str">
        <f t="shared" si="212"/>
        <v>1-0,0774113931539679i</v>
      </c>
      <c r="X356" s="160">
        <f t="shared" si="222"/>
        <v>1.002991786501783</v>
      </c>
      <c r="Y356" s="160">
        <f t="shared" si="223"/>
        <v>-7.7257316887441724E-2</v>
      </c>
      <c r="Z356" s="98" t="str">
        <f t="shared" si="213"/>
        <v>0,999524429803854+0,0299842961079956i</v>
      </c>
      <c r="AA356" s="160">
        <f t="shared" si="224"/>
        <v>0.99997407155776374</v>
      </c>
      <c r="AB356" s="160">
        <f t="shared" si="225"/>
        <v>2.9989568679637695E-2</v>
      </c>
      <c r="AC356" s="171" t="str">
        <f t="shared" si="226"/>
        <v>-0,0817394453499304-0,898105635458635i</v>
      </c>
      <c r="AD356" s="190">
        <f t="shared" si="227"/>
        <v>-0.89762540624438847</v>
      </c>
      <c r="AE356" s="169">
        <f t="shared" si="228"/>
        <v>-95.200343548360649</v>
      </c>
      <c r="AF356" s="98" t="str">
        <f t="shared" si="214"/>
        <v>-0,0000375877424711299</v>
      </c>
      <c r="AG356" s="98" t="str">
        <f t="shared" si="215"/>
        <v>0,000152682518039271i</v>
      </c>
      <c r="AH356" s="98">
        <f t="shared" si="229"/>
        <v>1.52682518039271E-4</v>
      </c>
      <c r="AI356" s="98">
        <f t="shared" si="230"/>
        <v>1.5707963267948966</v>
      </c>
      <c r="AJ356" s="98" t="str">
        <f t="shared" si="216"/>
        <v>1+0,139266375114389i</v>
      </c>
      <c r="AK356" s="98">
        <f t="shared" si="231"/>
        <v>1.0096509908069728</v>
      </c>
      <c r="AL356" s="98">
        <f t="shared" si="232"/>
        <v>0.1383763468697376</v>
      </c>
      <c r="AM356" s="98" t="str">
        <f t="shared" si="217"/>
        <v>1+10,8520644608366i</v>
      </c>
      <c r="AN356" s="98">
        <f t="shared" si="233"/>
        <v>10.898041248873705</v>
      </c>
      <c r="AO356" s="98">
        <f t="shared" si="234"/>
        <v>1.4789074611502226</v>
      </c>
      <c r="AP356" s="168" t="str">
        <f t="shared" si="235"/>
        <v>-2,58712430957062+0,606481783578379i</v>
      </c>
      <c r="AQ356" s="98">
        <f t="shared" si="236"/>
        <v>8.4886820102662117</v>
      </c>
      <c r="AR356" s="169">
        <f t="shared" si="237"/>
        <v>166.80677515424119</v>
      </c>
      <c r="AS356" s="168" t="str">
        <f t="shared" si="238"/>
        <v>0,756154813750371+2,27393743745287i</v>
      </c>
      <c r="AT356" s="190">
        <f t="shared" si="239"/>
        <v>7.5910566040218228</v>
      </c>
      <c r="AU356" s="169">
        <f t="shared" si="240"/>
        <v>71.606431605880516</v>
      </c>
      <c r="AV356" s="225"/>
      <c r="AX356">
        <f t="shared" si="241"/>
        <v>0</v>
      </c>
      <c r="AY356">
        <f t="shared" si="242"/>
        <v>0</v>
      </c>
    </row>
    <row r="357" spans="14:51" x14ac:dyDescent="0.25">
      <c r="N357" s="170">
        <v>39</v>
      </c>
      <c r="O357" s="199">
        <f t="shared" si="208"/>
        <v>24547.089156850321</v>
      </c>
      <c r="P357" s="189" t="str">
        <f t="shared" si="209"/>
        <v>120,833333333333</v>
      </c>
      <c r="Q357" s="160" t="str">
        <f t="shared" si="210"/>
        <v>1+137,525236349212i</v>
      </c>
      <c r="R357" s="160">
        <f t="shared" si="218"/>
        <v>137.52887199750683</v>
      </c>
      <c r="S357" s="160">
        <f t="shared" si="219"/>
        <v>1.5635250622421426</v>
      </c>
      <c r="T357" s="160" t="str">
        <f t="shared" si="211"/>
        <v>1+0,00925403459546092i</v>
      </c>
      <c r="U357" s="160">
        <f t="shared" si="220"/>
        <v>1.0000428176614711</v>
      </c>
      <c r="V357" s="160">
        <f t="shared" si="221"/>
        <v>9.2537704459643936E-3</v>
      </c>
      <c r="W357" s="98" t="str">
        <f t="shared" si="212"/>
        <v>1-0,0792145361371455i</v>
      </c>
      <c r="X357" s="160">
        <f t="shared" si="222"/>
        <v>1.0031325648863281</v>
      </c>
      <c r="Y357" s="160">
        <f t="shared" si="223"/>
        <v>-7.9049468275025167E-2</v>
      </c>
      <c r="Z357" s="98" t="str">
        <f t="shared" si="213"/>
        <v>0,999502016871013+0,0306827200857829i</v>
      </c>
      <c r="AA357" s="160">
        <f t="shared" si="224"/>
        <v>0.9999728551521212</v>
      </c>
      <c r="AB357" s="160">
        <f t="shared" si="225"/>
        <v>3.0688369687859044E-2</v>
      </c>
      <c r="AC357" s="171" t="str">
        <f t="shared" si="226"/>
        <v>-0,0820404568679259-0,877590955550267i</v>
      </c>
      <c r="AD357" s="190">
        <f t="shared" si="227"/>
        <v>-1.0963682288813545</v>
      </c>
      <c r="AE357" s="169">
        <f t="shared" si="228"/>
        <v>-95.340700206431208</v>
      </c>
      <c r="AF357" s="98" t="str">
        <f t="shared" si="214"/>
        <v>-0,0000375877424711299</v>
      </c>
      <c r="AG357" s="98" t="str">
        <f t="shared" si="215"/>
        <v>0,000156238950753366i</v>
      </c>
      <c r="AH357" s="98">
        <f t="shared" si="229"/>
        <v>1.5623895075336599E-4</v>
      </c>
      <c r="AI357" s="98">
        <f t="shared" si="230"/>
        <v>1.5707963267948966</v>
      </c>
      <c r="AJ357" s="98" t="str">
        <f t="shared" si="216"/>
        <v>1+0,142510305714897i</v>
      </c>
      <c r="AK357" s="98">
        <f t="shared" si="231"/>
        <v>1.0101035527286069</v>
      </c>
      <c r="AL357" s="98">
        <f t="shared" si="232"/>
        <v>0.14155713771244161</v>
      </c>
      <c r="AM357" s="98" t="str">
        <f t="shared" si="217"/>
        <v>1+11,1048415145531i</v>
      </c>
      <c r="AN357" s="98">
        <f t="shared" si="233"/>
        <v>11.149776009559204</v>
      </c>
      <c r="AO357" s="98">
        <f t="shared" si="234"/>
        <v>1.4809877487033805</v>
      </c>
      <c r="AP357" s="168" t="str">
        <f t="shared" si="235"/>
        <v>-2,58480658351473+0,608940140801908i</v>
      </c>
      <c r="AQ357" s="98">
        <f t="shared" si="236"/>
        <v>8.4831434633759599</v>
      </c>
      <c r="AR357" s="169">
        <f t="shared" si="237"/>
        <v>166.74372096040992</v>
      </c>
      <c r="AS357" s="168" t="str">
        <f t="shared" si="238"/>
        <v>0,746459073066032+2,21844515218271i</v>
      </c>
      <c r="AT357" s="190">
        <f t="shared" si="239"/>
        <v>7.3867752344946203</v>
      </c>
      <c r="AU357" s="169">
        <f t="shared" si="240"/>
        <v>71.403020753978751</v>
      </c>
      <c r="AV357" s="225"/>
      <c r="AX357">
        <f t="shared" si="241"/>
        <v>0</v>
      </c>
      <c r="AY357">
        <f t="shared" si="242"/>
        <v>0</v>
      </c>
    </row>
    <row r="358" spans="14:51" x14ac:dyDescent="0.25">
      <c r="N358" s="170">
        <v>40</v>
      </c>
      <c r="O358" s="199">
        <f t="shared" si="208"/>
        <v>25118.86431509586</v>
      </c>
      <c r="P358" s="189" t="str">
        <f t="shared" si="209"/>
        <v>120,833333333333</v>
      </c>
      <c r="Q358" s="160" t="str">
        <f t="shared" si="210"/>
        <v>1+140,728610617903i</v>
      </c>
      <c r="R358" s="160">
        <f t="shared" si="218"/>
        <v>140.73216351085262</v>
      </c>
      <c r="S358" s="160">
        <f t="shared" si="219"/>
        <v>1.5636905707942992</v>
      </c>
      <c r="T358" s="160" t="str">
        <f t="shared" si="211"/>
        <v>1+0,00946958875185886i</v>
      </c>
      <c r="U358" s="160">
        <f t="shared" si="220"/>
        <v>1.0000448355504514</v>
      </c>
      <c r="V358" s="160">
        <f t="shared" si="221"/>
        <v>9.4693057112592172E-3</v>
      </c>
      <c r="W358" s="98" t="str">
        <f t="shared" si="212"/>
        <v>1-0,0810596797159119i</v>
      </c>
      <c r="X358" s="160">
        <f t="shared" si="222"/>
        <v>1.0032799567795851</v>
      </c>
      <c r="Y358" s="160">
        <f t="shared" si="223"/>
        <v>-8.0882837530107013E-2</v>
      </c>
      <c r="Z358" s="98" t="str">
        <f t="shared" si="213"/>
        <v>0,99947854764919+0,0313974124478937i</v>
      </c>
      <c r="AA358" s="160">
        <f t="shared" si="224"/>
        <v>0.99997158195588598</v>
      </c>
      <c r="AB358" s="160">
        <f t="shared" si="225"/>
        <v>3.140346603800679E-2</v>
      </c>
      <c r="AC358" s="171" t="str">
        <f t="shared" si="226"/>
        <v>-0,0823278967912313-0,857541386080652i</v>
      </c>
      <c r="AD358" s="190">
        <f t="shared" si="227"/>
        <v>-1.2950531709486928</v>
      </c>
      <c r="AE358" s="169">
        <f t="shared" si="228"/>
        <v>-95.483850210319389</v>
      </c>
      <c r="AF358" s="98" t="str">
        <f t="shared" si="214"/>
        <v>-0,0000375877424711299</v>
      </c>
      <c r="AG358" s="98" t="str">
        <f t="shared" si="215"/>
        <v>0,000159878223427217i</v>
      </c>
      <c r="AH358" s="98">
        <f t="shared" si="229"/>
        <v>1.5987822342721701E-4</v>
      </c>
      <c r="AI358" s="98">
        <f t="shared" si="230"/>
        <v>1.5707963267948966</v>
      </c>
      <c r="AJ358" s="98" t="str">
        <f t="shared" si="216"/>
        <v>1+0,145829797165842i</v>
      </c>
      <c r="AK358" s="98">
        <f t="shared" si="231"/>
        <v>1.0105772260156225</v>
      </c>
      <c r="AL358" s="98">
        <f t="shared" si="232"/>
        <v>0.14480903570854634</v>
      </c>
      <c r="AM358" s="98" t="str">
        <f t="shared" si="217"/>
        <v>1+11,3635065022306i</v>
      </c>
      <c r="AN358" s="98">
        <f t="shared" si="233"/>
        <v>11.407422146402627</v>
      </c>
      <c r="AO358" s="98">
        <f t="shared" si="234"/>
        <v>1.4830214365375169</v>
      </c>
      <c r="AP358" s="168" t="str">
        <f t="shared" si="235"/>
        <v>-2,5823840731665+0,611690873261962i</v>
      </c>
      <c r="AQ358" s="98">
        <f t="shared" si="236"/>
        <v>8.4774987100748671</v>
      </c>
      <c r="AR358" s="169">
        <f t="shared" si="237"/>
        <v>166.67392265956926</v>
      </c>
      <c r="AS358" s="168" t="str">
        <f t="shared" si="238"/>
        <v>0,737152488760918+2,16414199441375i</v>
      </c>
      <c r="AT358" s="190">
        <f t="shared" si="239"/>
        <v>7.182445539126169</v>
      </c>
      <c r="AU358" s="169">
        <f t="shared" si="240"/>
        <v>71.190072449249854</v>
      </c>
      <c r="AV358" s="225"/>
      <c r="AX358">
        <f t="shared" si="241"/>
        <v>0</v>
      </c>
      <c r="AY358">
        <f t="shared" si="242"/>
        <v>0</v>
      </c>
    </row>
    <row r="359" spans="14:51" x14ac:dyDescent="0.25">
      <c r="N359" s="170">
        <v>41</v>
      </c>
      <c r="O359" s="199">
        <f t="shared" si="208"/>
        <v>25703.95782768865</v>
      </c>
      <c r="P359" s="189" t="str">
        <f t="shared" si="209"/>
        <v>120,833333333333</v>
      </c>
      <c r="Q359" s="160" t="str">
        <f t="shared" si="210"/>
        <v>1+144,006601058707i</v>
      </c>
      <c r="R359" s="160">
        <f t="shared" si="218"/>
        <v>144.01007307991196</v>
      </c>
      <c r="S359" s="160">
        <f t="shared" si="219"/>
        <v>1.5638523122880326</v>
      </c>
      <c r="T359" s="160" t="str">
        <f t="shared" si="211"/>
        <v>1+0,0096901638095578i</v>
      </c>
      <c r="U359" s="160">
        <f t="shared" si="220"/>
        <v>1.0000469485352455</v>
      </c>
      <c r="V359" s="160">
        <f t="shared" si="221"/>
        <v>9.6898605268600918E-3</v>
      </c>
      <c r="W359" s="98" t="str">
        <f t="shared" si="212"/>
        <v>1-0,0829478022098148i</v>
      </c>
      <c r="X359" s="160">
        <f t="shared" si="222"/>
        <v>1.0034342718342038</v>
      </c>
      <c r="Y359" s="160">
        <f t="shared" si="223"/>
        <v>-8.2758347402645469E-2</v>
      </c>
      <c r="Z359" s="98" t="str">
        <f t="shared" si="213"/>
        <v>0,999453972357018+0,0321287521336781i</v>
      </c>
      <c r="AA359" s="160">
        <f t="shared" si="224"/>
        <v>0.99997024934439449</v>
      </c>
      <c r="AB359" s="160">
        <f t="shared" si="225"/>
        <v>3.2135238596522495E-2</v>
      </c>
      <c r="AC359" s="171" t="str">
        <f t="shared" si="226"/>
        <v>-0,0826023746154152-0,837946309476536i</v>
      </c>
      <c r="AD359" s="190">
        <f t="shared" si="227"/>
        <v>-1.4936774953423528</v>
      </c>
      <c r="AE359" s="169">
        <f t="shared" si="228"/>
        <v>-95.629866734495252</v>
      </c>
      <c r="AF359" s="98" t="str">
        <f t="shared" si="214"/>
        <v>-0,0000375877424711299</v>
      </c>
      <c r="AG359" s="98" t="str">
        <f t="shared" si="215"/>
        <v>0,000163602265651368i</v>
      </c>
      <c r="AH359" s="98">
        <f t="shared" si="229"/>
        <v>1.6360226565136801E-4</v>
      </c>
      <c r="AI359" s="98">
        <f t="shared" si="230"/>
        <v>1.5707963267948966</v>
      </c>
      <c r="AJ359" s="98" t="str">
        <f t="shared" si="216"/>
        <v>1+0,14922660950553i</v>
      </c>
      <c r="AK359" s="98">
        <f t="shared" si="231"/>
        <v>1.0110729849939202</v>
      </c>
      <c r="AL359" s="98">
        <f t="shared" si="232"/>
        <v>0.14813348980749982</v>
      </c>
      <c r="AM359" s="98" t="str">
        <f t="shared" si="217"/>
        <v>1+11,6281965714694i</v>
      </c>
      <c r="AN359" s="98">
        <f t="shared" si="233"/>
        <v>11.671116292143298</v>
      </c>
      <c r="AO359" s="98">
        <f t="shared" si="234"/>
        <v>1.4850095356147646</v>
      </c>
      <c r="AP359" s="168" t="str">
        <f t="shared" si="235"/>
        <v>-2,57985225550568+0,614733350444622i</v>
      </c>
      <c r="AQ359" s="98">
        <f t="shared" si="236"/>
        <v>8.4717363762981215</v>
      </c>
      <c r="AR359" s="169">
        <f t="shared" si="237"/>
        <v>166.59735515689439</v>
      </c>
      <c r="AS359" s="168" t="str">
        <f t="shared" si="238"/>
        <v>0,728215464778921+2,11099924199369i</v>
      </c>
      <c r="AT359" s="190">
        <f t="shared" si="239"/>
        <v>6.9780588809557837</v>
      </c>
      <c r="AU359" s="169">
        <f t="shared" si="240"/>
        <v>70.967488422399171</v>
      </c>
      <c r="AV359" s="225"/>
      <c r="AX359">
        <f t="shared" si="241"/>
        <v>0</v>
      </c>
      <c r="AY359">
        <f t="shared" si="242"/>
        <v>0</v>
      </c>
    </row>
    <row r="360" spans="14:51" x14ac:dyDescent="0.25">
      <c r="N360" s="170">
        <v>42</v>
      </c>
      <c r="O360" s="199">
        <f t="shared" si="208"/>
        <v>26302.679918953829</v>
      </c>
      <c r="P360" s="189" t="str">
        <f t="shared" si="209"/>
        <v>120,833333333333</v>
      </c>
      <c r="Q360" s="160" t="str">
        <f t="shared" si="210"/>
        <v>1+147,360945705545i</v>
      </c>
      <c r="R360" s="160">
        <f t="shared" si="218"/>
        <v>147.36433869573935</v>
      </c>
      <c r="S360" s="160">
        <f t="shared" si="219"/>
        <v>1.5640103724469545</v>
      </c>
      <c r="T360" s="160" t="str">
        <f t="shared" si="211"/>
        <v>1+0,00991587672037306i</v>
      </c>
      <c r="U360" s="160">
        <f t="shared" si="220"/>
        <v>1.00004916109716</v>
      </c>
      <c r="V360" s="160">
        <f t="shared" si="221"/>
        <v>9.9155517479703227E-3</v>
      </c>
      <c r="W360" s="98" t="str">
        <f t="shared" si="212"/>
        <v>1-0,0848799047263935i</v>
      </c>
      <c r="X360" s="160">
        <f t="shared" si="222"/>
        <v>1.0035958341017372</v>
      </c>
      <c r="Y360" s="160">
        <f t="shared" si="223"/>
        <v>-8.4676939506002136E-2</v>
      </c>
      <c r="Z360" s="98" t="str">
        <f t="shared" si="213"/>
        <v>0,999428238867009+0,032877126909118i</v>
      </c>
      <c r="AA360" s="160">
        <f t="shared" si="224"/>
        <v>0.99996885457428597</v>
      </c>
      <c r="AB360" s="160">
        <f t="shared" si="225"/>
        <v>3.2884077194194103E-2</v>
      </c>
      <c r="AC360" s="171" t="str">
        <f t="shared" si="226"/>
        <v>-0,0828644723570399-0,818795348250756i</v>
      </c>
      <c r="AD360" s="190">
        <f t="shared" si="227"/>
        <v>-1.6922383413808653</v>
      </c>
      <c r="AE360" s="169">
        <f t="shared" si="228"/>
        <v>-95.778824281380423</v>
      </c>
      <c r="AF360" s="98" t="str">
        <f t="shared" si="214"/>
        <v>-0,0000375877424711299</v>
      </c>
      <c r="AG360" s="98" t="str">
        <f t="shared" si="215"/>
        <v>0,000167413051962299i</v>
      </c>
      <c r="AH360" s="98">
        <f t="shared" si="229"/>
        <v>1.6741305196229901E-4</v>
      </c>
      <c r="AI360" s="98">
        <f t="shared" si="230"/>
        <v>1.5707963267948966</v>
      </c>
      <c r="AJ360" s="98" t="str">
        <f t="shared" si="216"/>
        <v>1+0,152702543768825i</v>
      </c>
      <c r="AK360" s="98">
        <f t="shared" si="231"/>
        <v>1.0115918479670889</v>
      </c>
      <c r="AL360" s="98">
        <f t="shared" si="232"/>
        <v>0.15153196859145782</v>
      </c>
      <c r="AM360" s="98" t="str">
        <f t="shared" si="217"/>
        <v>1+11,8990520644477i</v>
      </c>
      <c r="AN360" s="98">
        <f t="shared" si="233"/>
        <v>11.94099828458396</v>
      </c>
      <c r="AO360" s="98">
        <f t="shared" si="234"/>
        <v>1.4869530371524005</v>
      </c>
      <c r="AP360" s="168" t="str">
        <f t="shared" si="235"/>
        <v>-2,57720643244695+0,61806695793115i</v>
      </c>
      <c r="AQ360" s="98">
        <f t="shared" si="236"/>
        <v>8.4658448805463475</v>
      </c>
      <c r="AR360" s="169">
        <f t="shared" si="237"/>
        <v>166.51399110139258</v>
      </c>
      <c r="AS360" s="168" t="str">
        <f t="shared" si="238"/>
        <v>0,719629201241407+2,0589888460192i</v>
      </c>
      <c r="AT360" s="190">
        <f t="shared" si="239"/>
        <v>6.7736065391654678</v>
      </c>
      <c r="AU360" s="169">
        <f t="shared" si="240"/>
        <v>70.735166820012125</v>
      </c>
      <c r="AV360" s="225"/>
      <c r="AX360">
        <f t="shared" si="241"/>
        <v>0</v>
      </c>
      <c r="AY360">
        <f t="shared" si="242"/>
        <v>0</v>
      </c>
    </row>
    <row r="361" spans="14:51" x14ac:dyDescent="0.25">
      <c r="N361" s="170">
        <v>43</v>
      </c>
      <c r="O361" s="199">
        <f t="shared" si="208"/>
        <v>26915.348039269167</v>
      </c>
      <c r="P361" s="189" t="str">
        <f t="shared" si="209"/>
        <v>120,833333333333</v>
      </c>
      <c r="Q361" s="160" t="str">
        <f t="shared" si="210"/>
        <v>1+150,793423076349i</v>
      </c>
      <c r="R361" s="160">
        <f t="shared" si="218"/>
        <v>150.79673883437528</v>
      </c>
      <c r="S361" s="160">
        <f t="shared" si="219"/>
        <v>1.5641648350450446</v>
      </c>
      <c r="T361" s="160" t="str">
        <f t="shared" si="211"/>
        <v>1+0,0101468471602776i</v>
      </c>
      <c r="U361" s="160">
        <f t="shared" si="220"/>
        <v>1.0000514779286584</v>
      </c>
      <c r="V361" s="160">
        <f t="shared" si="221"/>
        <v>1.0146498947042469E-2</v>
      </c>
      <c r="W361" s="98" t="str">
        <f t="shared" si="212"/>
        <v>1-0,0868570116919767i</v>
      </c>
      <c r="X361" s="160">
        <f t="shared" si="222"/>
        <v>1.003764982692692</v>
      </c>
      <c r="Y361" s="160">
        <f t="shared" si="223"/>
        <v>-8.6639574573054323E-2</v>
      </c>
      <c r="Z361" s="98" t="str">
        <f t="shared" si="213"/>
        <v>0,999401292594979+0,0336429335724256i</v>
      </c>
      <c r="AA361" s="160">
        <f t="shared" si="224"/>
        <v>0.99996739477838636</v>
      </c>
      <c r="AB361" s="160">
        <f t="shared" si="225"/>
        <v>3.3650380841590395E-2</v>
      </c>
      <c r="AC361" s="171" t="str">
        <f t="shared" si="226"/>
        <v>-0,0831147457866008-0,800078359557609i</v>
      </c>
      <c r="AD361" s="190">
        <f t="shared" si="227"/>
        <v>-1.8907327192133256</v>
      </c>
      <c r="AE361" s="169">
        <f t="shared" si="228"/>
        <v>-95.930798707434192</v>
      </c>
      <c r="AF361" s="98" t="str">
        <f t="shared" si="214"/>
        <v>-0,0000375877424711299</v>
      </c>
      <c r="AG361" s="98" t="str">
        <f t="shared" si="215"/>
        <v>0,000171312602889354i</v>
      </c>
      <c r="AH361" s="98">
        <f t="shared" si="229"/>
        <v>1.7131260288935399E-4</v>
      </c>
      <c r="AI361" s="98">
        <f t="shared" si="230"/>
        <v>1.5707963267948966</v>
      </c>
      <c r="AJ361" s="98" t="str">
        <f t="shared" si="216"/>
        <v>1+0,156259442942084i</v>
      </c>
      <c r="AK361" s="98">
        <f t="shared" si="231"/>
        <v>1.0121348791087927</v>
      </c>
      <c r="AL361" s="98">
        <f t="shared" si="232"/>
        <v>0.15500595980646406</v>
      </c>
      <c r="AM361" s="98" t="str">
        <f t="shared" si="217"/>
        <v>1+12,1762165923332i</v>
      </c>
      <c r="AN361" s="98">
        <f t="shared" si="233"/>
        <v>12.217211240844218</v>
      </c>
      <c r="AO361" s="98">
        <f t="shared" si="234"/>
        <v>1.488852912860112</v>
      </c>
      <c r="AP361" s="168" t="str">
        <f t="shared" si="235"/>
        <v>-2,57444172598509+0,621691088412639i</v>
      </c>
      <c r="AQ361" s="98">
        <f t="shared" si="236"/>
        <v>8.4598124144098072</v>
      </c>
      <c r="AR361" s="169">
        <f t="shared" si="237"/>
        <v>166.42380092635844</v>
      </c>
      <c r="AS361" s="168" t="str">
        <f t="shared" si="238"/>
        <v>0,711375655766437+2,0080834161316i</v>
      </c>
      <c r="AT361" s="190">
        <f t="shared" si="239"/>
        <v>6.5690796951964874</v>
      </c>
      <c r="AU361" s="169">
        <f t="shared" si="240"/>
        <v>70.493002218924261</v>
      </c>
      <c r="AV361" s="225"/>
      <c r="AX361">
        <f t="shared" si="241"/>
        <v>0</v>
      </c>
      <c r="AY361">
        <f t="shared" si="242"/>
        <v>0</v>
      </c>
    </row>
    <row r="362" spans="14:51" x14ac:dyDescent="0.25">
      <c r="N362" s="170">
        <v>44</v>
      </c>
      <c r="O362" s="199">
        <f t="shared" si="208"/>
        <v>27542.287033381719</v>
      </c>
      <c r="P362" s="189" t="str">
        <f t="shared" si="209"/>
        <v>120,833333333333</v>
      </c>
      <c r="Q362" s="160" t="str">
        <f t="shared" si="210"/>
        <v>1+154,305853116055i</v>
      </c>
      <c r="R362" s="160">
        <f t="shared" si="218"/>
        <v>154.3090933998173</v>
      </c>
      <c r="S362" s="160">
        <f t="shared" si="219"/>
        <v>1.5643157819509179</v>
      </c>
      <c r="T362" s="160" t="str">
        <f t="shared" si="211"/>
        <v>1+0,010383197592856i</v>
      </c>
      <c r="U362" s="160">
        <f t="shared" si="220"/>
        <v>1.0000539039433085</v>
      </c>
      <c r="V362" s="160">
        <f t="shared" si="221"/>
        <v>1.0382824476738405E-2</v>
      </c>
      <c r="W362" s="98" t="str">
        <f t="shared" si="212"/>
        <v>1-0,0888801713948474i</v>
      </c>
      <c r="X362" s="160">
        <f t="shared" si="222"/>
        <v>1.0039420724659254</v>
      </c>
      <c r="Y362" s="160">
        <f t="shared" si="223"/>
        <v>-8.8647232705749368E-2</v>
      </c>
      <c r="Z362" s="98" t="str">
        <f t="shared" si="213"/>
        <v>0,999373076384273+0,0344265781644301i</v>
      </c>
      <c r="AA362" s="160">
        <f t="shared" si="224"/>
        <v>0.99996586696040657</v>
      </c>
      <c r="AB362" s="160">
        <f t="shared" si="225"/>
        <v>3.4434557949985303E-2</v>
      </c>
      <c r="AC362" s="171" t="str">
        <f t="shared" si="226"/>
        <v>-0,0833537256059136-0,781785429868683i</v>
      </c>
      <c r="AD362" s="190">
        <f t="shared" si="227"/>
        <v>-2.0891575039980155</v>
      </c>
      <c r="AE362" s="169">
        <f t="shared" si="228"/>
        <v>-96.085867249038827</v>
      </c>
      <c r="AF362" s="98" t="str">
        <f t="shared" si="214"/>
        <v>-0,0000375877424711299</v>
      </c>
      <c r="AG362" s="98" t="str">
        <f t="shared" si="215"/>
        <v>0,000175302986026052i</v>
      </c>
      <c r="AH362" s="98">
        <f t="shared" si="229"/>
        <v>1.75302986026052E-4</v>
      </c>
      <c r="AI362" s="98">
        <f t="shared" si="230"/>
        <v>1.5707963267948966</v>
      </c>
      <c r="AJ362" s="98" t="str">
        <f t="shared" si="216"/>
        <v>1+0,159899192940329i</v>
      </c>
      <c r="AK362" s="98">
        <f t="shared" si="231"/>
        <v>1.0127031904279598</v>
      </c>
      <c r="AL362" s="98">
        <f t="shared" si="232"/>
        <v>0.15855696982610834</v>
      </c>
      <c r="AM362" s="98" t="str">
        <f t="shared" si="217"/>
        <v>1+12,4598371114272i</v>
      </c>
      <c r="AN362" s="98">
        <f t="shared" si="233"/>
        <v>12.4999016333449</v>
      </c>
      <c r="AO362" s="98">
        <f t="shared" si="234"/>
        <v>1.4907101151853881</v>
      </c>
      <c r="AP362" s="168" t="str">
        <f t="shared" si="235"/>
        <v>-2,57155307339949+0,625605132230631i</v>
      </c>
      <c r="AQ362" s="98">
        <f t="shared" si="236"/>
        <v>8.4536269229634282</v>
      </c>
      <c r="AR362" s="169">
        <f t="shared" si="237"/>
        <v>166.3267528941644</v>
      </c>
      <c r="AS362" s="168" t="str">
        <f t="shared" si="238"/>
        <v>0,703437506490163+1,95825620638815i</v>
      </c>
      <c r="AT362" s="190">
        <f t="shared" si="239"/>
        <v>6.3644694189654096</v>
      </c>
      <c r="AU362" s="169">
        <f t="shared" si="240"/>
        <v>70.240885645125559</v>
      </c>
      <c r="AV362" s="225"/>
      <c r="AX362">
        <f t="shared" si="241"/>
        <v>0</v>
      </c>
      <c r="AY362">
        <f t="shared" si="242"/>
        <v>0</v>
      </c>
    </row>
    <row r="363" spans="14:51" x14ac:dyDescent="0.25">
      <c r="N363" s="170">
        <v>45</v>
      </c>
      <c r="O363" s="199">
        <f t="shared" si="208"/>
        <v>28183.829312644593</v>
      </c>
      <c r="P363" s="189" t="str">
        <f t="shared" si="209"/>
        <v>120,833333333333</v>
      </c>
      <c r="Q363" s="160" t="str">
        <f t="shared" si="210"/>
        <v>1+157,900098161563i</v>
      </c>
      <c r="R363" s="160">
        <f t="shared" si="218"/>
        <v>157.9032646889583</v>
      </c>
      <c r="S363" s="160">
        <f t="shared" si="219"/>
        <v>1.5644632931710916</v>
      </c>
      <c r="T363" s="160" t="str">
        <f t="shared" si="211"/>
        <v>1+0,0106250533342359i</v>
      </c>
      <c r="U363" s="160">
        <f t="shared" si="220"/>
        <v>1.000056444286199</v>
      </c>
      <c r="V363" s="160">
        <f t="shared" si="221"/>
        <v>1.0624653534331513E-2</v>
      </c>
      <c r="W363" s="98" t="str">
        <f t="shared" si="212"/>
        <v>1-0,0909504565410597i</v>
      </c>
      <c r="X363" s="160">
        <f t="shared" si="222"/>
        <v>1.0041274747486135</v>
      </c>
      <c r="Y363" s="160">
        <f t="shared" si="223"/>
        <v>-9.0700913617118017E-2</v>
      </c>
      <c r="Z363" s="98" t="str">
        <f t="shared" si="213"/>
        <v>0,999343530384525+0,0352284761838669i</v>
      </c>
      <c r="AA363" s="160">
        <f t="shared" si="224"/>
        <v>0.99996426798943328</v>
      </c>
      <c r="AB363" s="160">
        <f t="shared" si="225"/>
        <v>3.5237026557936618E-2</v>
      </c>
      <c r="AC363" s="171" t="str">
        <f t="shared" si="226"/>
        <v>-0,0835819185724328-0,763906869766468i</v>
      </c>
      <c r="AD363" s="190">
        <f t="shared" si="227"/>
        <v>-2.2875094298446923</v>
      </c>
      <c r="AE363" s="169">
        <f t="shared" si="228"/>
        <v>-96.244108548137248</v>
      </c>
      <c r="AF363" s="98" t="str">
        <f t="shared" si="214"/>
        <v>-0,0000375877424711299</v>
      </c>
      <c r="AG363" s="98" t="str">
        <f t="shared" si="215"/>
        <v>0,00017938631712635i</v>
      </c>
      <c r="AH363" s="98">
        <f t="shared" si="229"/>
        <v>1.7938631712634999E-4</v>
      </c>
      <c r="AI363" s="98">
        <f t="shared" si="230"/>
        <v>1.5707963267948966</v>
      </c>
      <c r="AJ363" s="98" t="str">
        <f t="shared" si="216"/>
        <v>1+0,163623723607187i</v>
      </c>
      <c r="AK363" s="98">
        <f t="shared" si="231"/>
        <v>1.0132979438087699</v>
      </c>
      <c r="AL363" s="98">
        <f t="shared" si="232"/>
        <v>0.16218652304313724</v>
      </c>
      <c r="AM363" s="98" t="str">
        <f t="shared" si="217"/>
        <v>1+12,7500640010831i</v>
      </c>
      <c r="AN363" s="98">
        <f t="shared" si="233"/>
        <v>12.789219367565607</v>
      </c>
      <c r="AO363" s="98">
        <f t="shared" si="234"/>
        <v>1.4925255775660224</v>
      </c>
      <c r="AP363" s="168" t="str">
        <f t="shared" si="235"/>
        <v>-2,56853522254387+0,62980846742019i</v>
      </c>
      <c r="AQ363" s="98">
        <f t="shared" si="236"/>
        <v>8.4472760850322501</v>
      </c>
      <c r="AR363" s="169">
        <f t="shared" si="237"/>
        <v>166.2228131455856</v>
      </c>
      <c r="AS363" s="168" t="str">
        <f t="shared" si="238"/>
        <v>0,695798116720461+1,90948110169826i</v>
      </c>
      <c r="AT363" s="190">
        <f t="shared" si="239"/>
        <v>6.1597666551875454</v>
      </c>
      <c r="AU363" s="169">
        <f t="shared" si="240"/>
        <v>69.978704597448328</v>
      </c>
      <c r="AV363" s="225"/>
      <c r="AX363">
        <f t="shared" si="241"/>
        <v>0</v>
      </c>
      <c r="AY363">
        <f t="shared" si="242"/>
        <v>0</v>
      </c>
    </row>
    <row r="364" spans="14:51" x14ac:dyDescent="0.25">
      <c r="N364" s="170">
        <v>46</v>
      </c>
      <c r="O364" s="199">
        <f t="shared" si="208"/>
        <v>28840.315031266062</v>
      </c>
      <c r="P364" s="189" t="str">
        <f t="shared" si="209"/>
        <v>120,833333333333</v>
      </c>
      <c r="Q364" s="160" t="str">
        <f t="shared" si="210"/>
        <v>1+161,578063929169i</v>
      </c>
      <c r="R364" s="160">
        <f t="shared" si="218"/>
        <v>161.58115837899734</v>
      </c>
      <c r="S364" s="160">
        <f t="shared" si="219"/>
        <v>1.5646074468922739</v>
      </c>
      <c r="T364" s="160" t="str">
        <f t="shared" si="211"/>
        <v>1+0,0108725426195328i</v>
      </c>
      <c r="U364" s="160">
        <f t="shared" si="220"/>
        <v>1.000059104344845</v>
      </c>
      <c r="V364" s="160">
        <f t="shared" si="221"/>
        <v>1.0872114227584424E-2</v>
      </c>
      <c r="W364" s="98" t="str">
        <f t="shared" si="212"/>
        <v>1-0,0930689648232012i</v>
      </c>
      <c r="X364" s="160">
        <f t="shared" si="222"/>
        <v>1.0043215780880457</v>
      </c>
      <c r="Y364" s="160">
        <f t="shared" si="223"/>
        <v>-9.2801636864692671E-2</v>
      </c>
      <c r="Z364" s="98" t="str">
        <f t="shared" si="213"/>
        <v>0,999312591924709+0,0360490528076803i</v>
      </c>
      <c r="AA364" s="160">
        <f t="shared" si="224"/>
        <v>0.99996259459422332</v>
      </c>
      <c r="AB364" s="160">
        <f t="shared" si="225"/>
        <v>3.6058214563683501E-2</v>
      </c>
      <c r="AC364" s="171" t="str">
        <f t="shared" si="226"/>
        <v>-0,0837998085728723-0,746433208853426i</v>
      </c>
      <c r="AD364" s="190">
        <f t="shared" si="227"/>
        <v>-2.4857850835101174</v>
      </c>
      <c r="AE364" s="169">
        <f t="shared" si="228"/>
        <v>-96.405602677570457</v>
      </c>
      <c r="AF364" s="98" t="str">
        <f t="shared" si="214"/>
        <v>-0,0000375877424711299</v>
      </c>
      <c r="AG364" s="98" t="str">
        <f t="shared" si="215"/>
        <v>0,000183564761226447i</v>
      </c>
      <c r="AH364" s="98">
        <f t="shared" si="229"/>
        <v>1.83564761226447E-4</v>
      </c>
      <c r="AI364" s="98">
        <f t="shared" si="230"/>
        <v>1.5707963267948966</v>
      </c>
      <c r="AJ364" s="98" t="str">
        <f t="shared" si="216"/>
        <v>1+0,167435009738117i</v>
      </c>
      <c r="AK364" s="98">
        <f t="shared" si="231"/>
        <v>1.0139203531274057</v>
      </c>
      <c r="AL364" s="98">
        <f t="shared" si="232"/>
        <v>0.1658961611842697</v>
      </c>
      <c r="AM364" s="98" t="str">
        <f t="shared" si="217"/>
        <v>1+13,0470511434394i</v>
      </c>
      <c r="AN364" s="98">
        <f t="shared" si="233"/>
        <v>13.085317861615872</v>
      </c>
      <c r="AO364" s="98">
        <f t="shared" si="234"/>
        <v>1.4943002146887761</v>
      </c>
      <c r="AP364" s="168" t="str">
        <f t="shared" si="235"/>
        <v>-2,56538272724853+0,634300449231424i</v>
      </c>
      <c r="AQ364" s="98">
        <f t="shared" si="236"/>
        <v>8.4407472933248897</v>
      </c>
      <c r="AR364" s="169">
        <f t="shared" si="237"/>
        <v>166.11194575387901</v>
      </c>
      <c r="AS364" s="168" t="str">
        <f t="shared" si="238"/>
        <v>0,688441501156561+1,86173260481399i</v>
      </c>
      <c r="AT364" s="190">
        <f t="shared" si="239"/>
        <v>5.9549622098147568</v>
      </c>
      <c r="AU364" s="169">
        <f t="shared" si="240"/>
        <v>69.706343076308556</v>
      </c>
      <c r="AV364" s="225"/>
      <c r="AX364">
        <f t="shared" si="241"/>
        <v>0</v>
      </c>
      <c r="AY364">
        <f t="shared" si="242"/>
        <v>0</v>
      </c>
    </row>
    <row r="365" spans="14:51" x14ac:dyDescent="0.25">
      <c r="N365" s="170">
        <v>47</v>
      </c>
      <c r="O365" s="199">
        <f t="shared" si="208"/>
        <v>29512.092266663854</v>
      </c>
      <c r="P365" s="189" t="str">
        <f t="shared" si="209"/>
        <v>120,833333333333</v>
      </c>
      <c r="Q365" s="160" t="str">
        <f t="shared" si="210"/>
        <v>1+165,341700525012i</v>
      </c>
      <c r="R365" s="160">
        <f t="shared" si="218"/>
        <v>165.34472453786589</v>
      </c>
      <c r="S365" s="160">
        <f t="shared" si="219"/>
        <v>1.5647483195226981</v>
      </c>
      <c r="T365" s="160" t="str">
        <f t="shared" si="211"/>
        <v>1+0,0111257966708418i</v>
      </c>
      <c r="U365" s="160">
        <f t="shared" si="220"/>
        <v>1.0000618897606093</v>
      </c>
      <c r="V365" s="160">
        <f t="shared" si="221"/>
        <v>1.1125337642133151E-2</v>
      </c>
      <c r="W365" s="98" t="str">
        <f t="shared" si="212"/>
        <v>1-0,0952368195024062i</v>
      </c>
      <c r="X365" s="160">
        <f t="shared" si="222"/>
        <v>1.0045247890365543</v>
      </c>
      <c r="Y365" s="160">
        <f t="shared" si="223"/>
        <v>-9.4950442074202154E-2</v>
      </c>
      <c r="Z365" s="98" t="str">
        <f t="shared" si="213"/>
        <v>0,999280195380202+0,0368887431164582i</v>
      </c>
      <c r="AA365" s="160">
        <f t="shared" si="224"/>
        <v>0.99996084335728186</v>
      </c>
      <c r="AB365" s="160">
        <f t="shared" si="225"/>
        <v>3.6898559963538885E-2</v>
      </c>
      <c r="AC365" s="171" t="str">
        <f t="shared" si="226"/>
        <v>-0,0840078576483952-0,72935519077381i</v>
      </c>
      <c r="AD365" s="190">
        <f t="shared" si="227"/>
        <v>-2.6839808978410069</v>
      </c>
      <c r="AE365" s="169">
        <f t="shared" si="228"/>
        <v>-96.5704311660607</v>
      </c>
      <c r="AF365" s="98" t="str">
        <f t="shared" si="214"/>
        <v>-0,0000375877424711299</v>
      </c>
      <c r="AG365" s="98" t="str">
        <f t="shared" si="215"/>
        <v>0,000187840533792713i</v>
      </c>
      <c r="AH365" s="98">
        <f t="shared" si="229"/>
        <v>1.8784053379271301E-4</v>
      </c>
      <c r="AI365" s="98">
        <f t="shared" si="230"/>
        <v>1.5707963267948966</v>
      </c>
      <c r="AJ365" s="98" t="str">
        <f t="shared" si="216"/>
        <v>1+0,171335072127475i</v>
      </c>
      <c r="AK365" s="98">
        <f t="shared" si="231"/>
        <v>1.0145716864475014</v>
      </c>
      <c r="AL365" s="98">
        <f t="shared" si="232"/>
        <v>0.16968744254328705</v>
      </c>
      <c r="AM365" s="98" t="str">
        <f t="shared" si="217"/>
        <v>1+13,3509560050102i</v>
      </c>
      <c r="AN365" s="98">
        <f t="shared" si="233"/>
        <v>13.388354127663263</v>
      </c>
      <c r="AO365" s="98">
        <f t="shared" si="234"/>
        <v>1.4960349227533181</v>
      </c>
      <c r="AP365" s="168" t="str">
        <f t="shared" si="235"/>
        <v>-2,56208994286641+0,63908039910607i</v>
      </c>
      <c r="AQ365" s="98">
        <f t="shared" si="236"/>
        <v>8.4340276344389551</v>
      </c>
      <c r="AR365" s="169">
        <f t="shared" si="237"/>
        <v>165.99411278384628</v>
      </c>
      <c r="AS365" s="168" t="str">
        <f t="shared" si="238"/>
        <v>0,681352293612517+1,81498582386501i</v>
      </c>
      <c r="AT365" s="190">
        <f t="shared" si="239"/>
        <v>5.750046736597958</v>
      </c>
      <c r="AU365" s="169">
        <f t="shared" si="240"/>
        <v>69.42368161778559</v>
      </c>
      <c r="AV365" s="225"/>
      <c r="AX365">
        <f t="shared" si="241"/>
        <v>0</v>
      </c>
      <c r="AY365">
        <f t="shared" si="242"/>
        <v>0</v>
      </c>
    </row>
    <row r="366" spans="14:51" x14ac:dyDescent="0.25">
      <c r="N366" s="170">
        <v>48</v>
      </c>
      <c r="O366" s="199">
        <f t="shared" si="208"/>
        <v>30199.517204020212</v>
      </c>
      <c r="P366" s="189" t="str">
        <f t="shared" si="209"/>
        <v>120,833333333333</v>
      </c>
      <c r="Q366" s="160" t="str">
        <f t="shared" si="210"/>
        <v>1+169,193003479027i</v>
      </c>
      <c r="R366" s="160">
        <f t="shared" si="218"/>
        <v>169.19595865816075</v>
      </c>
      <c r="S366" s="160">
        <f t="shared" si="219"/>
        <v>1.5648859857325192</v>
      </c>
      <c r="T366" s="160" t="str">
        <f t="shared" si="211"/>
        <v>1+0,011384949766813i</v>
      </c>
      <c r="U366" s="160">
        <f t="shared" si="220"/>
        <v>1.000064806440659</v>
      </c>
      <c r="V366" s="160">
        <f t="shared" si="221"/>
        <v>1.1384457910411462E-2</v>
      </c>
      <c r="W366" s="98" t="str">
        <f t="shared" si="212"/>
        <v>1-0,0974551700039193i</v>
      </c>
      <c r="X366" s="160">
        <f t="shared" si="222"/>
        <v>1.0047375329709212</v>
      </c>
      <c r="Y366" s="160">
        <f t="shared" si="223"/>
        <v>-9.7148389152319811E-2</v>
      </c>
      <c r="Z366" s="98" t="str">
        <f t="shared" si="213"/>
        <v>0,99924627203359+0,0377479923251166i</v>
      </c>
      <c r="AA366" s="160">
        <f t="shared" si="224"/>
        <v>0.99995901070874127</v>
      </c>
      <c r="AB366" s="160">
        <f t="shared" si="225"/>
        <v>3.7758511096455422E-2</v>
      </c>
      <c r="AC366" s="171" t="str">
        <f t="shared" si="226"/>
        <v>-0,0842065069735401-0,712663768346017i</v>
      </c>
      <c r="AD366" s="190">
        <f t="shared" si="227"/>
        <v>-2.8820931449534468</v>
      </c>
      <c r="AE366" s="169">
        <f t="shared" si="228"/>
        <v>-96.738677022779257</v>
      </c>
      <c r="AF366" s="98" t="str">
        <f t="shared" si="214"/>
        <v>-0,0000375877424711299</v>
      </c>
      <c r="AG366" s="98" t="str">
        <f t="shared" si="215"/>
        <v>0,00019221590189636i</v>
      </c>
      <c r="AH366" s="98">
        <f t="shared" si="229"/>
        <v>1.9221590189636001E-4</v>
      </c>
      <c r="AI366" s="98">
        <f t="shared" si="230"/>
        <v>1.5707963267948966</v>
      </c>
      <c r="AJ366" s="98" t="str">
        <f t="shared" si="216"/>
        <v>1+0,175325978639963i</v>
      </c>
      <c r="AK366" s="98">
        <f t="shared" si="231"/>
        <v>1.0152532682961728</v>
      </c>
      <c r="AL366" s="98">
        <f t="shared" si="232"/>
        <v>0.17356194112725237</v>
      </c>
      <c r="AM366" s="98" t="str">
        <f t="shared" si="217"/>
        <v>1+13,6619397201756i</v>
      </c>
      <c r="AN366" s="98">
        <f t="shared" si="233"/>
        <v>13.698488855261068</v>
      </c>
      <c r="AO366" s="98">
        <f t="shared" si="234"/>
        <v>1.4977305797406271</v>
      </c>
      <c r="AP366" s="168" t="str">
        <f t="shared" si="235"/>
        <v>-2,55865102199618+0,644147593085601i</v>
      </c>
      <c r="AQ366" s="98">
        <f t="shared" si="236"/>
        <v>8.4271038687411526</v>
      </c>
      <c r="AR366" s="169">
        <f t="shared" si="237"/>
        <v>165.86927435613026</v>
      </c>
      <c r="AS366" s="168" t="str">
        <f t="shared" si="238"/>
        <v>0,674515716185978+1,76921646042903i</v>
      </c>
      <c r="AT366" s="190">
        <f t="shared" si="239"/>
        <v>5.5450107237876924</v>
      </c>
      <c r="AU366" s="169">
        <f t="shared" si="240"/>
        <v>69.130597333350963</v>
      </c>
      <c r="AV366" s="225"/>
      <c r="AX366">
        <f t="shared" si="241"/>
        <v>0</v>
      </c>
      <c r="AY366">
        <f t="shared" si="242"/>
        <v>0</v>
      </c>
    </row>
    <row r="367" spans="14:51" x14ac:dyDescent="0.25">
      <c r="N367" s="170">
        <v>49</v>
      </c>
      <c r="O367" s="199">
        <f t="shared" si="208"/>
        <v>30902.954325135954</v>
      </c>
      <c r="P367" s="189" t="str">
        <f t="shared" si="209"/>
        <v>120,833333333333</v>
      </c>
      <c r="Q367" s="160" t="str">
        <f t="shared" si="210"/>
        <v>1+173,134014803022i</v>
      </c>
      <c r="R367" s="160">
        <f t="shared" si="218"/>
        <v>173.13690271520119</v>
      </c>
      <c r="S367" s="160">
        <f t="shared" si="219"/>
        <v>1.5650205184932997</v>
      </c>
      <c r="T367" s="160" t="str">
        <f t="shared" si="211"/>
        <v>1+0,0116501393138481i</v>
      </c>
      <c r="U367" s="160">
        <f t="shared" si="220"/>
        <v>1.0000678605704876</v>
      </c>
      <c r="V367" s="160">
        <f t="shared" si="221"/>
        <v>1.1649612282149915E-2</v>
      </c>
      <c r="W367" s="98" t="str">
        <f t="shared" si="212"/>
        <v>1-0,0997251925265401i</v>
      </c>
      <c r="X367" s="160">
        <f t="shared" si="222"/>
        <v>1.0049602549476548</v>
      </c>
      <c r="Y367" s="160">
        <f t="shared" si="223"/>
        <v>-9.9396558487177197E-2</v>
      </c>
      <c r="Z367" s="98" t="str">
        <f t="shared" si="213"/>
        <v>0,999210749928908+0,0386272560189595i</v>
      </c>
      <c r="AA367" s="160">
        <f t="shared" si="224"/>
        <v>0.99995709292001378</v>
      </c>
      <c r="AB367" s="160">
        <f t="shared" si="225"/>
        <v>3.8638526894956997E-2</v>
      </c>
      <c r="AC367" s="171" t="str">
        <f t="shared" si="226"/>
        <v>-0,0843961777909429-0,696350098802879i</v>
      </c>
      <c r="AD367" s="190">
        <f t="shared" si="227"/>
        <v>-3.0801179291427108</v>
      </c>
      <c r="AE367" s="169">
        <f t="shared" si="228"/>
        <v>-96.910424761435166</v>
      </c>
      <c r="AF367" s="98" t="str">
        <f t="shared" si="214"/>
        <v>-0,0000375877424711299</v>
      </c>
      <c r="AG367" s="98" t="str">
        <f t="shared" si="215"/>
        <v>0,00019669318541547i</v>
      </c>
      <c r="AH367" s="98">
        <f t="shared" si="229"/>
        <v>1.9669318541546999E-4</v>
      </c>
      <c r="AI367" s="98">
        <f t="shared" si="230"/>
        <v>1.5707963267948966</v>
      </c>
      <c r="AJ367" s="98" t="str">
        <f t="shared" si="216"/>
        <v>1+0,179409845307039i</v>
      </c>
      <c r="AK367" s="98">
        <f t="shared" si="231"/>
        <v>1.015966482022461</v>
      </c>
      <c r="AL367" s="98">
        <f t="shared" si="232"/>
        <v>0.17752124571053554</v>
      </c>
      <c r="AM367" s="98" t="str">
        <f t="shared" si="217"/>
        <v>1+13,9801671766178i</v>
      </c>
      <c r="AN367" s="98">
        <f t="shared" si="233"/>
        <v>14.015886496621672</v>
      </c>
      <c r="AO367" s="98">
        <f t="shared" si="234"/>
        <v>1.4993880456850985</v>
      </c>
      <c r="AP367" s="168" t="str">
        <f t="shared" si="235"/>
        <v>-2,55505991041997+0,649501249628253i</v>
      </c>
      <c r="AQ367" s="98">
        <f t="shared" si="236"/>
        <v>8.4199624101319284</v>
      </c>
      <c r="AR367" s="169">
        <f t="shared" si="237"/>
        <v>165.7373887170063</v>
      </c>
      <c r="AS367" s="168" t="str">
        <f t="shared" si="238"/>
        <v>0,667917549817542+1,72440079812916i</v>
      </c>
      <c r="AT367" s="190">
        <f t="shared" si="239"/>
        <v>5.3398444809892389</v>
      </c>
      <c r="AU367" s="169">
        <f t="shared" si="240"/>
        <v>68.826963955571173</v>
      </c>
      <c r="AV367" s="225"/>
      <c r="AX367">
        <f t="shared" si="241"/>
        <v>0</v>
      </c>
      <c r="AY367">
        <f t="shared" si="242"/>
        <v>0</v>
      </c>
    </row>
    <row r="368" spans="14:51" x14ac:dyDescent="0.25">
      <c r="N368" s="170">
        <v>50</v>
      </c>
      <c r="O368" s="199">
        <f t="shared" si="208"/>
        <v>31622.77660168384</v>
      </c>
      <c r="P368" s="189" t="str">
        <f t="shared" si="209"/>
        <v>120,833333333333</v>
      </c>
      <c r="Q368" s="160" t="str">
        <f t="shared" si="210"/>
        <v>1+177,166824073364i</v>
      </c>
      <c r="R368" s="160">
        <f t="shared" si="218"/>
        <v>177.16964624969572</v>
      </c>
      <c r="S368" s="160">
        <f t="shared" si="219"/>
        <v>1.5651519891165997</v>
      </c>
      <c r="T368" s="160" t="str">
        <f t="shared" si="211"/>
        <v>1+0,0119215059189553i</v>
      </c>
      <c r="U368" s="160">
        <f t="shared" si="220"/>
        <v>1.0000710586270236</v>
      </c>
      <c r="V368" s="160">
        <f t="shared" si="221"/>
        <v>1.1920941196483343E-2</v>
      </c>
      <c r="W368" s="98" t="str">
        <f t="shared" si="212"/>
        <v>1-0,102048090666257i</v>
      </c>
      <c r="X368" s="160">
        <f t="shared" si="222"/>
        <v>1.005193420595573</v>
      </c>
      <c r="Y368" s="160">
        <f t="shared" si="223"/>
        <v>-0.10169605113523365</v>
      </c>
      <c r="Z368" s="98" t="str">
        <f t="shared" si="213"/>
        <v>0,999173553719008+0,0395270003952358i</v>
      </c>
      <c r="AA368" s="160">
        <f t="shared" si="224"/>
        <v>0.99995508609722894</v>
      </c>
      <c r="AB368" s="160">
        <f t="shared" si="225"/>
        <v>3.9539077142627693E-2</v>
      </c>
      <c r="AC368" s="171" t="str">
        <f t="shared" si="226"/>
        <v>-0,0845772723038413-0,68040553913773i</v>
      </c>
      <c r="AD368" s="190">
        <f t="shared" si="227"/>
        <v>-3.2780511795126928</v>
      </c>
      <c r="AE368" s="169">
        <f t="shared" si="228"/>
        <v>-97.085760423815017</v>
      </c>
      <c r="AF368" s="98" t="str">
        <f t="shared" si="214"/>
        <v>-0,0000375877424711299</v>
      </c>
      <c r="AG368" s="98" t="str">
        <f t="shared" si="215"/>
        <v>0,000201274758265029i</v>
      </c>
      <c r="AH368" s="98">
        <f t="shared" si="229"/>
        <v>2.0127475826502901E-4</v>
      </c>
      <c r="AI368" s="98">
        <f t="shared" si="230"/>
        <v>1.5707963267948966</v>
      </c>
      <c r="AJ368" s="98" t="str">
        <f t="shared" si="216"/>
        <v>1+0,183588837448867i</v>
      </c>
      <c r="AK368" s="98">
        <f t="shared" si="231"/>
        <v>1.0167127722399412</v>
      </c>
      <c r="AL368" s="98">
        <f t="shared" si="232"/>
        <v>0.18156695879112006</v>
      </c>
      <c r="AM368" s="98" t="str">
        <f t="shared" si="217"/>
        <v>1+14,3058071027464i</v>
      </c>
      <c r="AN368" s="98">
        <f t="shared" si="233"/>
        <v>14.340715353879293</v>
      </c>
      <c r="AO368" s="98">
        <f t="shared" si="234"/>
        <v>1.5010081629496532</v>
      </c>
      <c r="AP368" s="168" t="str">
        <f t="shared" si="235"/>
        <v>-2,5513103432952+0,65514051681276i</v>
      </c>
      <c r="AQ368" s="98">
        <f t="shared" si="236"/>
        <v>8.4125893057023724</v>
      </c>
      <c r="AR368" s="169">
        <f t="shared" si="237"/>
        <v>165.59841231394319</v>
      </c>
      <c r="AS368" s="168" t="str">
        <f t="shared" si="238"/>
        <v>0,661544106189442+1,68051569174969i</v>
      </c>
      <c r="AT368" s="190">
        <f t="shared" si="239"/>
        <v>5.1345381261897005</v>
      </c>
      <c r="AU368" s="169">
        <f t="shared" si="240"/>
        <v>68.51265189012824</v>
      </c>
      <c r="AV368" s="225"/>
      <c r="AX368">
        <f t="shared" si="241"/>
        <v>0</v>
      </c>
      <c r="AY368">
        <f t="shared" si="242"/>
        <v>0</v>
      </c>
    </row>
    <row r="369" spans="14:51" x14ac:dyDescent="0.25">
      <c r="N369" s="170">
        <v>51</v>
      </c>
      <c r="O369" s="199">
        <f t="shared" si="208"/>
        <v>32359.365692962871</v>
      </c>
      <c r="P369" s="189" t="str">
        <f t="shared" si="209"/>
        <v>120,833333333333</v>
      </c>
      <c r="Q369" s="160" t="str">
        <f t="shared" si="210"/>
        <v>1+181,293569538911i</v>
      </c>
      <c r="R369" s="160">
        <f t="shared" si="218"/>
        <v>181.29632747565503</v>
      </c>
      <c r="S369" s="160">
        <f t="shared" si="219"/>
        <v>1.565280467291694</v>
      </c>
      <c r="T369" s="160" t="str">
        <f t="shared" si="211"/>
        <v>1+0,0121991934643005i</v>
      </c>
      <c r="U369" s="160">
        <f t="shared" si="220"/>
        <v>1.0000744073923598</v>
      </c>
      <c r="V369" s="160">
        <f t="shared" si="221"/>
        <v>1.2198588355701225E-2</v>
      </c>
      <c r="W369" s="98" t="str">
        <f t="shared" si="212"/>
        <v>1-0,104425096054412i</v>
      </c>
      <c r="X369" s="160">
        <f t="shared" si="222"/>
        <v>1.0054375170471674</v>
      </c>
      <c r="Y369" s="160">
        <f t="shared" si="223"/>
        <v>-0.10404798899302009</v>
      </c>
      <c r="Z369" s="98" t="str">
        <f t="shared" si="213"/>
        <v>0,999134604505743+0,0404477025103233i</v>
      </c>
      <c r="AA369" s="160">
        <f t="shared" si="224"/>
        <v>0.99995298617445572</v>
      </c>
      <c r="AB369" s="160">
        <f t="shared" si="225"/>
        <v>4.0460642738363174E-2</v>
      </c>
      <c r="AC369" s="171" t="str">
        <f t="shared" si="226"/>
        <v>-0,0847501745282329-0,664821641553832i</v>
      </c>
      <c r="AD369" s="190">
        <f t="shared" si="227"/>
        <v>-3.4758886423177984</v>
      </c>
      <c r="AE369" s="169">
        <f t="shared" si="228"/>
        <v>-97.264771602698787</v>
      </c>
      <c r="AF369" s="98" t="str">
        <f t="shared" si="214"/>
        <v>-0,0000375877424711299</v>
      </c>
      <c r="AG369" s="98" t="str">
        <f t="shared" si="215"/>
        <v>0,000205963049655607i</v>
      </c>
      <c r="AH369" s="98">
        <f t="shared" si="229"/>
        <v>2.05963049655607E-4</v>
      </c>
      <c r="AI369" s="98">
        <f t="shared" si="230"/>
        <v>1.5707963267948966</v>
      </c>
      <c r="AJ369" s="98" t="str">
        <f t="shared" si="216"/>
        <v>1+0,187865170822396i</v>
      </c>
      <c r="AK369" s="98">
        <f t="shared" si="231"/>
        <v>1.0174936473551706</v>
      </c>
      <c r="AL369" s="98">
        <f t="shared" si="232"/>
        <v>0.18570069544348131</v>
      </c>
      <c r="AM369" s="98" t="str">
        <f t="shared" si="217"/>
        <v>1+14,6390321571606i</v>
      </c>
      <c r="AN369" s="98">
        <f t="shared" si="233"/>
        <v>14.673147668390111</v>
      </c>
      <c r="AO369" s="98">
        <f t="shared" si="234"/>
        <v>1.5025917565032014</v>
      </c>
      <c r="AP369" s="168" t="str">
        <f t="shared" si="235"/>
        <v>-2,54739584164518+0,661064458907748i</v>
      </c>
      <c r="AQ369" s="98">
        <f t="shared" si="236"/>
        <v>8.4049702153000396</v>
      </c>
      <c r="AR369" s="169">
        <f t="shared" si="237"/>
        <v>165.45229987722681</v>
      </c>
      <c r="AS369" s="168" t="str">
        <f t="shared" si="238"/>
        <v>0,655382200915869+1,63753855686311i</v>
      </c>
      <c r="AT369" s="190">
        <f t="shared" si="239"/>
        <v>4.9290815729822413</v>
      </c>
      <c r="AU369" s="169">
        <f t="shared" si="240"/>
        <v>68.187528274527992</v>
      </c>
      <c r="AV369" s="225"/>
      <c r="AX369">
        <f t="shared" si="241"/>
        <v>0</v>
      </c>
      <c r="AY369">
        <f t="shared" si="242"/>
        <v>0</v>
      </c>
    </row>
    <row r="370" spans="14:51" x14ac:dyDescent="0.25">
      <c r="N370" s="170">
        <v>52</v>
      </c>
      <c r="O370" s="199">
        <f t="shared" si="208"/>
        <v>33113.11214825909</v>
      </c>
      <c r="P370" s="189" t="str">
        <f t="shared" si="209"/>
        <v>120,833333333333</v>
      </c>
      <c r="Q370" s="160" t="str">
        <f t="shared" si="210"/>
        <v>1+185,516439254731i</v>
      </c>
      <c r="R370" s="160">
        <f t="shared" si="218"/>
        <v>185.519134414093</v>
      </c>
      <c r="S370" s="160">
        <f t="shared" si="219"/>
        <v>1.5654060211224359</v>
      </c>
      <c r="T370" s="160" t="str">
        <f t="shared" si="211"/>
        <v>1+0,0124833491834958i</v>
      </c>
      <c r="U370" s="160">
        <f t="shared" si="220"/>
        <v>1.0000779139681253</v>
      </c>
      <c r="V370" s="160">
        <f t="shared" si="221"/>
        <v>1.2482700800678105E-2</v>
      </c>
      <c r="W370" s="98" t="str">
        <f t="shared" si="212"/>
        <v>1-0,106857469010724i</v>
      </c>
      <c r="X370" s="160">
        <f t="shared" si="222"/>
        <v>1.0056930539102762</v>
      </c>
      <c r="Y370" s="160">
        <f t="shared" si="223"/>
        <v>-0.10645351495215051</v>
      </c>
      <c r="Z370" s="98" t="str">
        <f t="shared" si="213"/>
        <v>0,999093819672609+0,0413898505326705i</v>
      </c>
      <c r="AA370" s="160">
        <f t="shared" si="224"/>
        <v>0.99995078890669442</v>
      </c>
      <c r="AB370" s="160">
        <f t="shared" si="225"/>
        <v>4.1403715967596913E-2</v>
      </c>
      <c r="AC370" s="171" t="str">
        <f t="shared" si="226"/>
        <v>-0,0849152511064936-0,649590149014954i</v>
      </c>
      <c r="AD370" s="190">
        <f t="shared" si="227"/>
        <v>-3.6736258730080582</v>
      </c>
      <c r="AE370" s="169">
        <f t="shared" si="228"/>
        <v>-97.447547464071917</v>
      </c>
      <c r="AF370" s="98" t="str">
        <f t="shared" si="214"/>
        <v>-0,0000375877424711299</v>
      </c>
      <c r="AG370" s="98" t="str">
        <f t="shared" si="215"/>
        <v>0,000210760545381356i</v>
      </c>
      <c r="AH370" s="98">
        <f t="shared" si="229"/>
        <v>2.1076054538135601E-4</v>
      </c>
      <c r="AI370" s="98">
        <f t="shared" si="230"/>
        <v>1.5707963267948966</v>
      </c>
      <c r="AJ370" s="98" t="str">
        <f t="shared" si="216"/>
        <v>1+0,192241112796185i</v>
      </c>
      <c r="AK370" s="98">
        <f t="shared" si="231"/>
        <v>1.0183106821835444</v>
      </c>
      <c r="AL370" s="98">
        <f t="shared" si="232"/>
        <v>0.18992408206216738</v>
      </c>
      <c r="AM370" s="98" t="str">
        <f t="shared" si="217"/>
        <v>1+14,980019020195i</v>
      </c>
      <c r="AN370" s="98">
        <f t="shared" si="233"/>
        <v>15.013359712116536</v>
      </c>
      <c r="AO370" s="98">
        <f t="shared" si="234"/>
        <v>1.5041396341998647</v>
      </c>
      <c r="AP370" s="168" t="str">
        <f t="shared" si="235"/>
        <v>-2,54330970919544+0,667272042287022i</v>
      </c>
      <c r="AQ370" s="98">
        <f t="shared" si="236"/>
        <v>8.3970903910193844</v>
      </c>
      <c r="AR370" s="169">
        <f t="shared" si="237"/>
        <v>165.29900450794526</v>
      </c>
      <c r="AS370" s="168" t="str">
        <f t="shared" si="238"/>
        <v>0,649419127980653+1,5954473599603i</v>
      </c>
      <c r="AT370" s="190">
        <f t="shared" si="239"/>
        <v>4.7234645180113262</v>
      </c>
      <c r="AU370" s="169">
        <f t="shared" si="240"/>
        <v>67.851457043873339</v>
      </c>
      <c r="AV370" s="225"/>
      <c r="AX370">
        <f t="shared" si="241"/>
        <v>0</v>
      </c>
      <c r="AY370">
        <f t="shared" si="242"/>
        <v>0</v>
      </c>
    </row>
    <row r="371" spans="14:51" x14ac:dyDescent="0.25">
      <c r="N371" s="170">
        <v>53</v>
      </c>
      <c r="O371" s="199">
        <f t="shared" si="208"/>
        <v>33884.41561392029</v>
      </c>
      <c r="P371" s="189" t="str">
        <f t="shared" si="209"/>
        <v>120,833333333333</v>
      </c>
      <c r="Q371" s="160" t="str">
        <f t="shared" si="210"/>
        <v>1+189,837672242245i</v>
      </c>
      <c r="R371" s="160">
        <f t="shared" si="218"/>
        <v>189.84030605315098</v>
      </c>
      <c r="S371" s="160">
        <f t="shared" si="219"/>
        <v>1.5655287171632859</v>
      </c>
      <c r="T371" s="160" t="str">
        <f t="shared" si="211"/>
        <v>1+0,012774123739665i</v>
      </c>
      <c r="U371" s="160">
        <f t="shared" si="220"/>
        <v>1.0000815857905376</v>
      </c>
      <c r="V371" s="160">
        <f t="shared" si="221"/>
        <v>1.2773428988019708E-2</v>
      </c>
      <c r="W371" s="98" t="str">
        <f t="shared" si="212"/>
        <v>1-0,109346499211533i</v>
      </c>
      <c r="X371" s="160">
        <f t="shared" si="222"/>
        <v>1.0059605642816312</v>
      </c>
      <c r="Y371" s="160">
        <f t="shared" si="223"/>
        <v>-0.1089137930359123</v>
      </c>
      <c r="Z371" s="98" t="str">
        <f t="shared" si="213"/>
        <v>0,999051112709507+0,0423539440016298i</v>
      </c>
      <c r="AA371" s="160">
        <f t="shared" si="224"/>
        <v>0.9999484898626515</v>
      </c>
      <c r="AB371" s="160">
        <f t="shared" si="225"/>
        <v>4.2368800780720486E-2</v>
      </c>
      <c r="AC371" s="171" t="str">
        <f t="shared" si="226"/>
        <v>-0,0850728520841683-0,634702990894814i</v>
      </c>
      <c r="AD371" s="190">
        <f t="shared" si="227"/>
        <v>-3.8712582279699639</v>
      </c>
      <c r="AE371" s="169">
        <f t="shared" si="228"/>
        <v>-97.634178768547613</v>
      </c>
      <c r="AF371" s="98" t="str">
        <f t="shared" si="214"/>
        <v>-0,0000375877424711299</v>
      </c>
      <c r="AG371" s="98" t="str">
        <f t="shared" si="215"/>
        <v>0,000215669789138011i</v>
      </c>
      <c r="AH371" s="98">
        <f t="shared" si="229"/>
        <v>2.15669789138011E-4</v>
      </c>
      <c r="AI371" s="98">
        <f t="shared" si="230"/>
        <v>1.5707963267948966</v>
      </c>
      <c r="AJ371" s="98" t="str">
        <f t="shared" si="216"/>
        <v>1+0,196718983552591i</v>
      </c>
      <c r="AK371" s="98">
        <f t="shared" si="231"/>
        <v>1.0191655206540127</v>
      </c>
      <c r="AL371" s="98">
        <f t="shared" si="232"/>
        <v>0.19423875499003834</v>
      </c>
      <c r="AM371" s="98" t="str">
        <f t="shared" si="217"/>
        <v>1+15,3289484875981i</v>
      </c>
      <c r="AN371" s="98">
        <f t="shared" si="233"/>
        <v>15.361531881145059</v>
      </c>
      <c r="AO371" s="98">
        <f t="shared" si="234"/>
        <v>1.5056525870594026</v>
      </c>
      <c r="AP371" s="168" t="str">
        <f t="shared" si="235"/>
        <v>-2,53904502960759+0,67376212067248i</v>
      </c>
      <c r="AQ371" s="98">
        <f t="shared" si="236"/>
        <v>8.3889346566394032</v>
      </c>
      <c r="AR371" s="169">
        <f t="shared" si="237"/>
        <v>165.13847777265269</v>
      </c>
      <c r="AS371" s="168" t="str">
        <f t="shared" si="238"/>
        <v>0,643642635381305+1,55422060907666i</v>
      </c>
      <c r="AT371" s="190">
        <f t="shared" si="239"/>
        <v>4.5176764286694233</v>
      </c>
      <c r="AU371" s="169">
        <f t="shared" si="240"/>
        <v>67.504299004105022</v>
      </c>
      <c r="AV371" s="225"/>
      <c r="AX371">
        <f t="shared" si="241"/>
        <v>0</v>
      </c>
      <c r="AY371">
        <f t="shared" si="242"/>
        <v>0</v>
      </c>
    </row>
    <row r="372" spans="14:51" x14ac:dyDescent="0.25">
      <c r="N372" s="170">
        <v>54</v>
      </c>
      <c r="O372" s="199">
        <f t="shared" si="208"/>
        <v>34673.685045253202</v>
      </c>
      <c r="P372" s="189" t="str">
        <f t="shared" si="209"/>
        <v>120,833333333333</v>
      </c>
      <c r="Q372" s="160" t="str">
        <f t="shared" si="210"/>
        <v>1+194,259559676379i</v>
      </c>
      <c r="R372" s="160">
        <f t="shared" si="218"/>
        <v>194.26213353523292</v>
      </c>
      <c r="S372" s="160">
        <f t="shared" si="219"/>
        <v>1.5656486204545235</v>
      </c>
      <c r="T372" s="160" t="str">
        <f t="shared" si="211"/>
        <v>1+0,0130716713053264i</v>
      </c>
      <c r="U372" s="160">
        <f t="shared" si="220"/>
        <v>1.0000854306461595</v>
      </c>
      <c r="V372" s="160">
        <f t="shared" si="221"/>
        <v>1.3070926868960643E-2</v>
      </c>
      <c r="W372" s="98" t="str">
        <f t="shared" si="212"/>
        <v>1-0,111893506373594i</v>
      </c>
      <c r="X372" s="160">
        <f t="shared" si="222"/>
        <v>1.0062406058038891</v>
      </c>
      <c r="Y372" s="160">
        <f t="shared" si="223"/>
        <v>-0.11143000851559148</v>
      </c>
      <c r="Z372" s="98" t="str">
        <f t="shared" si="213"/>
        <v>0,999006393029242+0,043340494092319i</v>
      </c>
      <c r="AA372" s="160">
        <f t="shared" si="224"/>
        <v>0.9999460844172865</v>
      </c>
      <c r="AB372" s="160">
        <f t="shared" si="225"/>
        <v>4.335641307892809E-2</v>
      </c>
      <c r="AC372" s="171" t="str">
        <f t="shared" si="226"/>
        <v>-0,085223311651585-0,620152278723333i</v>
      </c>
      <c r="AD372" s="190">
        <f t="shared" si="227"/>
        <v>-4.0687808559530145</v>
      </c>
      <c r="AE372" s="169">
        <f t="shared" si="228"/>
        <v>-97.824757891906842</v>
      </c>
      <c r="AF372" s="98" t="str">
        <f t="shared" si="214"/>
        <v>-0,0000375877424711299</v>
      </c>
      <c r="AG372" s="98" t="str">
        <f t="shared" si="215"/>
        <v>0,000220693383871595i</v>
      </c>
      <c r="AH372" s="98">
        <f t="shared" si="229"/>
        <v>2.2069338387159499E-4</v>
      </c>
      <c r="AI372" s="98">
        <f t="shared" si="230"/>
        <v>1.5707963267948966</v>
      </c>
      <c r="AJ372" s="98" t="str">
        <f t="shared" si="216"/>
        <v>1+0,201301157317958i</v>
      </c>
      <c r="AK372" s="98">
        <f t="shared" si="231"/>
        <v>1.0200598786039716</v>
      </c>
      <c r="AL372" s="98">
        <f t="shared" si="232"/>
        <v>0.19864635902498173</v>
      </c>
      <c r="AM372" s="98" t="str">
        <f t="shared" si="217"/>
        <v>1+15,6860055663917i</v>
      </c>
      <c r="AN372" s="98">
        <f t="shared" si="233"/>
        <v>15.717848791385904</v>
      </c>
      <c r="AO372" s="98">
        <f t="shared" si="234"/>
        <v>1.5071313895483345</v>
      </c>
      <c r="AP372" s="168" t="str">
        <f t="shared" si="235"/>
        <v>-2,53459466416568+0,680533419688354i</v>
      </c>
      <c r="AQ372" s="98">
        <f t="shared" si="236"/>
        <v>8.3804873870327103</v>
      </c>
      <c r="AR372" s="169">
        <f t="shared" si="237"/>
        <v>164.97066980503479</v>
      </c>
      <c r="AS372" s="168" t="str">
        <f t="shared" si="238"/>
        <v>0,638040901941751+1,51383734490693i</v>
      </c>
      <c r="AT372" s="190">
        <f t="shared" si="239"/>
        <v>4.3117065310797056</v>
      </c>
      <c r="AU372" s="169">
        <f t="shared" si="240"/>
        <v>67.145911913128003</v>
      </c>
      <c r="AV372" s="225"/>
      <c r="AX372">
        <f t="shared" si="241"/>
        <v>0</v>
      </c>
      <c r="AY372">
        <f t="shared" si="242"/>
        <v>0</v>
      </c>
    </row>
    <row r="373" spans="14:51" x14ac:dyDescent="0.25">
      <c r="N373" s="170">
        <v>55</v>
      </c>
      <c r="O373" s="199">
        <f t="shared" si="208"/>
        <v>35481.33892335758</v>
      </c>
      <c r="P373" s="189" t="str">
        <f t="shared" si="209"/>
        <v>120,833333333333</v>
      </c>
      <c r="Q373" s="160" t="str">
        <f t="shared" si="210"/>
        <v>1+198,784446100385i</v>
      </c>
      <c r="R373" s="160">
        <f t="shared" si="218"/>
        <v>198.78696137180847</v>
      </c>
      <c r="S373" s="160">
        <f t="shared" si="219"/>
        <v>1.5657657945566621</v>
      </c>
      <c r="T373" s="160" t="str">
        <f t="shared" si="211"/>
        <v>1+0,013376149644138i</v>
      </c>
      <c r="U373" s="160">
        <f t="shared" si="220"/>
        <v>1.0000894566884018</v>
      </c>
      <c r="V373" s="160">
        <f t="shared" si="221"/>
        <v>1.3375351970054123E-2</v>
      </c>
      <c r="W373" s="98" t="str">
        <f t="shared" si="212"/>
        <v>1-0,114499840953821i</v>
      </c>
      <c r="X373" s="160">
        <f t="shared" si="222"/>
        <v>1.0065337617678058</v>
      </c>
      <c r="Y373" s="160">
        <f t="shared" si="223"/>
        <v>-0.11400336800463082</v>
      </c>
      <c r="Z373" s="98" t="str">
        <f t="shared" si="213"/>
        <v>0,998959565775377+0,0443500238866557i</v>
      </c>
      <c r="AA373" s="160">
        <f t="shared" si="224"/>
        <v>0.99994356774413862</v>
      </c>
      <c r="AB373" s="160">
        <f t="shared" si="225"/>
        <v>4.4367081007728612E-2</v>
      </c>
      <c r="AC373" s="171" t="str">
        <f t="shared" si="226"/>
        <v>-0,0853669488518498-0,605930302027438i</v>
      </c>
      <c r="AD373" s="190">
        <f t="shared" si="227"/>
        <v>-4.2661886891754284</v>
      </c>
      <c r="AE373" s="169">
        <f t="shared" si="228"/>
        <v>-98.01937884465859</v>
      </c>
      <c r="AF373" s="98" t="str">
        <f t="shared" si="214"/>
        <v>-0,0000375877424711299</v>
      </c>
      <c r="AG373" s="98" t="str">
        <f t="shared" si="215"/>
        <v>0,000225833993158529i</v>
      </c>
      <c r="AH373" s="98">
        <f t="shared" si="229"/>
        <v>2.2583399315852901E-4</v>
      </c>
      <c r="AI373" s="98">
        <f t="shared" si="230"/>
        <v>1.5707963267948966</v>
      </c>
      <c r="AJ373" s="98" t="str">
        <f t="shared" si="216"/>
        <v>1+0,205990063621473i</v>
      </c>
      <c r="AK373" s="98">
        <f t="shared" si="231"/>
        <v>1.0209955466654976</v>
      </c>
      <c r="AL373" s="98">
        <f t="shared" si="232"/>
        <v>0.20314854579880764</v>
      </c>
      <c r="AM373" s="98" t="str">
        <f t="shared" si="217"/>
        <v>1+16,0513795729656i</v>
      </c>
      <c r="AN373" s="98">
        <f t="shared" si="233"/>
        <v>16.082499376509155</v>
      </c>
      <c r="AO373" s="98">
        <f t="shared" si="234"/>
        <v>1.5085767998613018</v>
      </c>
      <c r="AP373" s="168" t="str">
        <f t="shared" si="235"/>
        <v>-2,52995124997569+0,687584520713028i</v>
      </c>
      <c r="AQ373" s="98">
        <f t="shared" si="236"/>
        <v>8.3717324875795391</v>
      </c>
      <c r="AR373" s="169">
        <f t="shared" si="237"/>
        <v>164.79552941491269</v>
      </c>
      <c r="AS373" s="168" t="str">
        <f t="shared" si="238"/>
        <v>0,632602515259384+1,47427713240143i</v>
      </c>
      <c r="AT373" s="190">
        <f t="shared" si="239"/>
        <v>4.1055437984041019</v>
      </c>
      <c r="AU373" s="169">
        <f t="shared" si="240"/>
        <v>66.776150570254089</v>
      </c>
      <c r="AV373" s="225"/>
      <c r="AX373">
        <f t="shared" si="241"/>
        <v>0</v>
      </c>
      <c r="AY373">
        <f t="shared" si="242"/>
        <v>0</v>
      </c>
    </row>
    <row r="374" spans="14:51" x14ac:dyDescent="0.25">
      <c r="N374" s="170">
        <v>56</v>
      </c>
      <c r="O374" s="199">
        <f t="shared" si="208"/>
        <v>36307.805477010232</v>
      </c>
      <c r="P374" s="189" t="str">
        <f t="shared" si="209"/>
        <v>120,833333333333</v>
      </c>
      <c r="Q374" s="160" t="str">
        <f t="shared" si="210"/>
        <v>1+203,414730668935i</v>
      </c>
      <c r="R374" s="160">
        <f t="shared" si="218"/>
        <v>203.41718868649073</v>
      </c>
      <c r="S374" s="160">
        <f t="shared" si="219"/>
        <v>1.5658803015840843</v>
      </c>
      <c r="T374" s="160" t="str">
        <f t="shared" si="211"/>
        <v>1+0,0136877201945451i</v>
      </c>
      <c r="U374" s="160">
        <f t="shared" si="220"/>
        <v>1.0000936724547977</v>
      </c>
      <c r="V374" s="160">
        <f t="shared" si="221"/>
        <v>1.3686865475688642E-2</v>
      </c>
      <c r="W374" s="98" t="str">
        <f t="shared" si="212"/>
        <v>1-0,117166884865306i</v>
      </c>
      <c r="X374" s="160">
        <f t="shared" si="222"/>
        <v>1.0068406422612468</v>
      </c>
      <c r="Y374" s="160">
        <f t="shared" si="223"/>
        <v>-0.11663509952851009</v>
      </c>
      <c r="Z374" s="98" t="str">
        <f t="shared" si="213"/>
        <v>0,998910531621028+0,0453830686506988i</v>
      </c>
      <c r="AA374" s="160">
        <f t="shared" si="224"/>
        <v>0.99994093480743096</v>
      </c>
      <c r="AB374" s="160">
        <f t="shared" si="225"/>
        <v>4.540134525836604E-2</v>
      </c>
      <c r="AC374" s="171" t="str">
        <f t="shared" si="226"/>
        <v>-0,0855040682567102-0,592029524264438i</v>
      </c>
      <c r="AD374" s="190">
        <f t="shared" si="227"/>
        <v>-4.4634764340994595</v>
      </c>
      <c r="AE374" s="169">
        <f t="shared" si="228"/>
        <v>-98.218137290512871</v>
      </c>
      <c r="AF374" s="98" t="str">
        <f t="shared" si="214"/>
        <v>-0,0000375877424711299</v>
      </c>
      <c r="AG374" s="98" t="str">
        <f t="shared" si="215"/>
        <v>0,000231094342617903i</v>
      </c>
      <c r="AH374" s="98">
        <f t="shared" si="229"/>
        <v>2.3109434261790301E-4</v>
      </c>
      <c r="AI374" s="98">
        <f t="shared" si="230"/>
        <v>1.5707963267948966</v>
      </c>
      <c r="AJ374" s="98" t="str">
        <f t="shared" si="216"/>
        <v>1+0,21078818858332i</v>
      </c>
      <c r="AK374" s="98">
        <f t="shared" si="231"/>
        <v>1.0219743932438998</v>
      </c>
      <c r="AL374" s="98">
        <f t="shared" si="232"/>
        <v>0.20774697202187442</v>
      </c>
      <c r="AM374" s="98" t="str">
        <f t="shared" si="217"/>
        <v>1+16,4252642334541i</v>
      </c>
      <c r="AN374" s="98">
        <f t="shared" si="233"/>
        <v>16.455676988163887</v>
      </c>
      <c r="AO374" s="98">
        <f t="shared" si="234"/>
        <v>1.5099895602022202</v>
      </c>
      <c r="AP374" s="168" t="str">
        <f t="shared" si="235"/>
        <v>-2,52510719874069+0,694913844016961i</v>
      </c>
      <c r="AQ374" s="98">
        <f t="shared" si="236"/>
        <v>8.3626533736171922</v>
      </c>
      <c r="AR374" s="169">
        <f t="shared" si="237"/>
        <v>164.61300420492677</v>
      </c>
      <c r="AS374" s="168" t="str">
        <f t="shared" si="238"/>
        <v>0,627316450754767+1,4355200528358i</v>
      </c>
      <c r="AT374" s="190">
        <f t="shared" si="239"/>
        <v>3.8991769395177354</v>
      </c>
      <c r="AU374" s="169">
        <f t="shared" si="240"/>
        <v>66.39486691441391</v>
      </c>
      <c r="AV374" s="225"/>
      <c r="AX374">
        <f t="shared" si="241"/>
        <v>0</v>
      </c>
      <c r="AY374">
        <f t="shared" si="242"/>
        <v>0</v>
      </c>
    </row>
    <row r="375" spans="14:51" x14ac:dyDescent="0.25">
      <c r="N375" s="170">
        <v>57</v>
      </c>
      <c r="O375" s="199">
        <f t="shared" si="208"/>
        <v>37153.522909717351</v>
      </c>
      <c r="P375" s="189" t="str">
        <f t="shared" si="209"/>
        <v>120,833333333333</v>
      </c>
      <c r="Q375" s="160" t="str">
        <f t="shared" si="210"/>
        <v>1+208,152868420198i</v>
      </c>
      <c r="R375" s="160">
        <f t="shared" si="218"/>
        <v>208.1552704870964</v>
      </c>
      <c r="S375" s="160">
        <f t="shared" si="219"/>
        <v>1.5659922022379138</v>
      </c>
      <c r="T375" s="160" t="str">
        <f t="shared" si="211"/>
        <v>1+0,0140065481553777i</v>
      </c>
      <c r="U375" s="160">
        <f t="shared" si="220"/>
        <v>1.0000980868850959</v>
      </c>
      <c r="V375" s="160">
        <f t="shared" si="221"/>
        <v>1.4005632312473671E-2</v>
      </c>
      <c r="W375" s="98" t="str">
        <f t="shared" si="212"/>
        <v>1-0,119896052210033i</v>
      </c>
      <c r="X375" s="160">
        <f t="shared" si="222"/>
        <v>1.0071618853667721</v>
      </c>
      <c r="Y375" s="160">
        <f t="shared" si="223"/>
        <v>-0.11932645256819077</v>
      </c>
      <c r="Z375" s="98" t="str">
        <f t="shared" si="213"/>
        <v>0,998859186558179+0,0464401761184564i</v>
      </c>
      <c r="AA375" s="160">
        <f t="shared" si="224"/>
        <v>0.99993818035395576</v>
      </c>
      <c r="AB375" s="160">
        <f t="shared" si="225"/>
        <v>4.6459759377420938E-2</v>
      </c>
      <c r="AC375" s="171" t="str">
        <f t="shared" si="226"/>
        <v>-0,085634960611731-0,578442578845775i</v>
      </c>
      <c r="AD375" s="190">
        <f t="shared" si="227"/>
        <v>-4.6606385618704742</v>
      </c>
      <c r="AE375" s="169">
        <f t="shared" si="228"/>
        <v>-98.421130563657869</v>
      </c>
      <c r="AF375" s="98" t="str">
        <f t="shared" si="214"/>
        <v>-0,0000375877424711299</v>
      </c>
      <c r="AG375" s="98" t="str">
        <f t="shared" si="215"/>
        <v>0,000236477221356628i</v>
      </c>
      <c r="AH375" s="98">
        <f t="shared" si="229"/>
        <v>2.3647722135662801E-4</v>
      </c>
      <c r="AI375" s="98">
        <f t="shared" si="230"/>
        <v>1.5707963267948966</v>
      </c>
      <c r="AJ375" s="98" t="str">
        <f t="shared" si="216"/>
        <v>1+0,215698076232865i</v>
      </c>
      <c r="AK375" s="98">
        <f t="shared" si="231"/>
        <v>1.022998367589391</v>
      </c>
      <c r="AL375" s="98">
        <f t="shared" si="232"/>
        <v>0.21244329758699992</v>
      </c>
      <c r="AM375" s="98" t="str">
        <f t="shared" si="217"/>
        <v>1+16,8078577864533i</v>
      </c>
      <c r="AN375" s="98">
        <f t="shared" si="233"/>
        <v>16.837579498539533</v>
      </c>
      <c r="AO375" s="98">
        <f t="shared" si="234"/>
        <v>1.5113703970648553</v>
      </c>
      <c r="AP375" s="168" t="str">
        <f t="shared" si="235"/>
        <v>-2,52005469618133+0,702519631179132i</v>
      </c>
      <c r="AQ375" s="98">
        <f t="shared" si="236"/>
        <v>8.3532329499698132</v>
      </c>
      <c r="AR375" s="169">
        <f t="shared" si="237"/>
        <v>164.42304069525071</v>
      </c>
      <c r="AS375" s="168" t="str">
        <f t="shared" si="238"/>
        <v>0,622172051795936+1,39754669634654i</v>
      </c>
      <c r="AT375" s="190">
        <f t="shared" si="239"/>
        <v>3.692594388099331</v>
      </c>
      <c r="AU375" s="169">
        <f t="shared" si="240"/>
        <v>66.001910131592808</v>
      </c>
      <c r="AV375" s="225"/>
      <c r="AX375">
        <f t="shared" si="241"/>
        <v>0</v>
      </c>
      <c r="AY375">
        <f t="shared" si="242"/>
        <v>0</v>
      </c>
    </row>
    <row r="376" spans="14:51" x14ac:dyDescent="0.25">
      <c r="N376" s="170">
        <v>58</v>
      </c>
      <c r="O376" s="199">
        <f t="shared" si="208"/>
        <v>38018.939632056143</v>
      </c>
      <c r="P376" s="189" t="str">
        <f t="shared" si="209"/>
        <v>120,833333333333</v>
      </c>
      <c r="Q376" s="160" t="str">
        <f t="shared" si="210"/>
        <v>1+213,001371577526i</v>
      </c>
      <c r="R376" s="160">
        <f t="shared" si="218"/>
        <v>213.0037189673159</v>
      </c>
      <c r="S376" s="160">
        <f t="shared" si="219"/>
        <v>1.5661015558381419</v>
      </c>
      <c r="T376" s="160" t="str">
        <f t="shared" si="211"/>
        <v>1+0,014332802573441i</v>
      </c>
      <c r="U376" s="160">
        <f t="shared" si="220"/>
        <v>1.0001027093402004</v>
      </c>
      <c r="V376" s="160">
        <f t="shared" si="221"/>
        <v>1.4331821235531854E-2</v>
      </c>
      <c r="W376" s="98" t="str">
        <f t="shared" si="212"/>
        <v>1-0,122688790028655i</v>
      </c>
      <c r="X376" s="160">
        <f t="shared" si="222"/>
        <v>1.0074981584095801</v>
      </c>
      <c r="Y376" s="160">
        <f t="shared" si="223"/>
        <v>-0.12207869807476929</v>
      </c>
      <c r="Z376" s="98" t="str">
        <f t="shared" si="213"/>
        <v>0,998805421677069+0,0475219067823005i</v>
      </c>
      <c r="AA376" s="160">
        <f t="shared" si="224"/>
        <v>0.99993529890475075</v>
      </c>
      <c r="AB376" s="160">
        <f t="shared" si="225"/>
        <v>4.7542890084855065E-2</v>
      </c>
      <c r="AC376" s="171" t="str">
        <f t="shared" si="226"/>
        <v>-0,0857599034521282-0,565162265249303i</v>
      </c>
      <c r="AD376" s="190">
        <f t="shared" si="227"/>
        <v>-4.8576692984101211</v>
      </c>
      <c r="AE376" s="169">
        <f t="shared" si="228"/>
        <v>-98.628457684718086</v>
      </c>
      <c r="AF376" s="98" t="str">
        <f t="shared" si="214"/>
        <v>-0,0000375877424711299</v>
      </c>
      <c r="AG376" s="98" t="str">
        <f t="shared" si="215"/>
        <v>0,000241985483448262i</v>
      </c>
      <c r="AH376" s="98">
        <f t="shared" si="229"/>
        <v>2.4198548344826201E-4</v>
      </c>
      <c r="AI376" s="98">
        <f t="shared" si="230"/>
        <v>1.5707963267948966</v>
      </c>
      <c r="AJ376" s="98" t="str">
        <f t="shared" si="216"/>
        <v>1+0,220722329857531i</v>
      </c>
      <c r="AK376" s="98">
        <f t="shared" si="231"/>
        <v>1.0240695029624389</v>
      </c>
      <c r="AL376" s="98">
        <f t="shared" si="232"/>
        <v>0.21723918352607946</v>
      </c>
      <c r="AM376" s="98" t="str">
        <f t="shared" si="217"/>
        <v>1+17,1993630881292i</v>
      </c>
      <c r="AN376" s="98">
        <f t="shared" si="233"/>
        <v>17.228409405319493</v>
      </c>
      <c r="AO376" s="98">
        <f t="shared" si="234"/>
        <v>1.512720021512441</v>
      </c>
      <c r="AP376" s="168" t="str">
        <f t="shared" si="235"/>
        <v>-2,51478570217353+0,710399926777593i</v>
      </c>
      <c r="AQ376" s="98">
        <f t="shared" si="236"/>
        <v>8.3434535906012428</v>
      </c>
      <c r="AR376" s="169">
        <f t="shared" si="237"/>
        <v>164.22558445668966</v>
      </c>
      <c r="AS376" s="168" t="str">
        <f t="shared" si="238"/>
        <v>0,617159010871758+1,36033815492411i</v>
      </c>
      <c r="AT376" s="190">
        <f t="shared" si="239"/>
        <v>3.4857842921911431</v>
      </c>
      <c r="AU376" s="169">
        <f t="shared" si="240"/>
        <v>65.597126771971659</v>
      </c>
      <c r="AV376" s="225"/>
      <c r="AX376">
        <f t="shared" si="241"/>
        <v>0</v>
      </c>
      <c r="AY376">
        <f t="shared" si="242"/>
        <v>0</v>
      </c>
    </row>
    <row r="377" spans="14:51" x14ac:dyDescent="0.25">
      <c r="N377" s="170">
        <v>59</v>
      </c>
      <c r="O377" s="199">
        <f t="shared" si="208"/>
        <v>38904.514499428085</v>
      </c>
      <c r="P377" s="189" t="str">
        <f t="shared" si="209"/>
        <v>120,833333333333</v>
      </c>
      <c r="Q377" s="160" t="str">
        <f t="shared" si="210"/>
        <v>1+217,962810881472i</v>
      </c>
      <c r="R377" s="160">
        <f t="shared" si="218"/>
        <v>217.96510483871572</v>
      </c>
      <c r="S377" s="160">
        <f t="shared" si="219"/>
        <v>1.5662084203550279</v>
      </c>
      <c r="T377" s="160" t="str">
        <f t="shared" si="211"/>
        <v>1+0,0146666564331457i</v>
      </c>
      <c r="U377" s="160">
        <f t="shared" si="220"/>
        <v>1.0001075496220033</v>
      </c>
      <c r="V377" s="160">
        <f t="shared" si="221"/>
        <v>1.4665604916738247E-2</v>
      </c>
      <c r="W377" s="98" t="str">
        <f t="shared" si="212"/>
        <v>1-0,125546579067727i</v>
      </c>
      <c r="X377" s="160">
        <f t="shared" si="222"/>
        <v>1.0078501592576197</v>
      </c>
      <c r="Y377" s="160">
        <f t="shared" si="223"/>
        <v>-0.12489312845285373</v>
      </c>
      <c r="Z377" s="98" t="str">
        <f t="shared" si="213"/>
        <v>0,998749122935177+0,0486288341901473i</v>
      </c>
      <c r="AA377" s="160">
        <f t="shared" si="224"/>
        <v>0.99993228474656137</v>
      </c>
      <c r="AB377" s="160">
        <f t="shared" si="225"/>
        <v>4.8651317600788772E-2</v>
      </c>
      <c r="AC377" s="171" t="str">
        <f t="shared" si="226"/>
        <v>-0,0858791616905652-0,552181545217978i</v>
      </c>
      <c r="AD377" s="190">
        <f t="shared" si="227"/>
        <v>-5.0545626141584936</v>
      </c>
      <c r="AE377" s="169">
        <f t="shared" si="228"/>
        <v>-98.840219375268703</v>
      </c>
      <c r="AF377" s="98" t="str">
        <f t="shared" si="214"/>
        <v>-0,0000375877424711299</v>
      </c>
      <c r="AG377" s="98" t="str">
        <f t="shared" si="215"/>
        <v>0,000247622049446277i</v>
      </c>
      <c r="AH377" s="98">
        <f t="shared" si="229"/>
        <v>2.4762204944627701E-4</v>
      </c>
      <c r="AI377" s="98">
        <f t="shared" si="230"/>
        <v>1.5707963267948966</v>
      </c>
      <c r="AJ377" s="98" t="str">
        <f t="shared" si="216"/>
        <v>1+0,225863613383092i</v>
      </c>
      <c r="AK377" s="98">
        <f t="shared" si="231"/>
        <v>1.0251899198931225</v>
      </c>
      <c r="AL377" s="98">
        <f t="shared" si="232"/>
        <v>0.22213628981287023</v>
      </c>
      <c r="AM377" s="98" t="str">
        <f t="shared" si="217"/>
        <v>1+17,5999877197749i</v>
      </c>
      <c r="AN377" s="98">
        <f t="shared" si="233"/>
        <v>17.628373939085456</v>
      </c>
      <c r="AO377" s="98">
        <f t="shared" si="234"/>
        <v>1.5140391294560263</v>
      </c>
      <c r="AP377" s="168" t="str">
        <f t="shared" si="235"/>
        <v>-2,50929195168105+0,718552559354392i</v>
      </c>
      <c r="AQ377" s="98">
        <f t="shared" si="236"/>
        <v>8.3332971184441114</v>
      </c>
      <c r="AR377" s="169">
        <f t="shared" si="237"/>
        <v>164.02058025251924</v>
      </c>
      <c r="AS377" s="168" t="str">
        <f t="shared" si="238"/>
        <v>0,612267351791892+1,32387601585431i</v>
      </c>
      <c r="AT377" s="190">
        <f t="shared" si="239"/>
        <v>3.2787345042856049</v>
      </c>
      <c r="AU377" s="169">
        <f t="shared" si="240"/>
        <v>65.180360877250465</v>
      </c>
      <c r="AV377" s="225"/>
      <c r="AX377">
        <f t="shared" si="241"/>
        <v>0</v>
      </c>
      <c r="AY377">
        <f t="shared" si="242"/>
        <v>0</v>
      </c>
    </row>
    <row r="378" spans="14:51" x14ac:dyDescent="0.25">
      <c r="N378" s="170">
        <v>60</v>
      </c>
      <c r="O378" s="199">
        <f t="shared" si="208"/>
        <v>39810.717055349742</v>
      </c>
      <c r="P378" s="189" t="str">
        <f t="shared" si="209"/>
        <v>120,833333333333</v>
      </c>
      <c r="Q378" s="160" t="str">
        <f t="shared" si="210"/>
        <v>1+223,039816952825i</v>
      </c>
      <c r="R378" s="160">
        <f t="shared" si="218"/>
        <v>223.04205869375778</v>
      </c>
      <c r="S378" s="160">
        <f t="shared" si="219"/>
        <v>1.5663128524397845</v>
      </c>
      <c r="T378" s="160" t="str">
        <f t="shared" si="211"/>
        <v>1+0,0150082867482274i</v>
      </c>
      <c r="U378" s="160">
        <f t="shared" si="220"/>
        <v>1.0001126179941522</v>
      </c>
      <c r="V378" s="160">
        <f t="shared" si="221"/>
        <v>1.5007160034949287E-2</v>
      </c>
      <c r="W378" s="98" t="str">
        <f t="shared" si="212"/>
        <v>1-0,128470934564827i</v>
      </c>
      <c r="X378" s="160">
        <f t="shared" si="222"/>
        <v>1.0082186176757302</v>
      </c>
      <c r="Y378" s="160">
        <f t="shared" si="223"/>
        <v>-0.12777105751005857</v>
      </c>
      <c r="Z378" s="98" t="str">
        <f t="shared" si="213"/>
        <v>0,998690170915321+0,0497615452495604i</v>
      </c>
      <c r="AA378" s="160">
        <f t="shared" si="224"/>
        <v>0.99992913192310628</v>
      </c>
      <c r="AB378" s="160">
        <f t="shared" si="225"/>
        <v>4.9785635981307461E-2</v>
      </c>
      <c r="AC378" s="171" t="str">
        <f t="shared" si="226"/>
        <v>-0,0859929881781591-0,539493539043153i</v>
      </c>
      <c r="AD378" s="190">
        <f t="shared" si="227"/>
        <v>-5.2513122134567611</v>
      </c>
      <c r="AE378" s="169">
        <f t="shared" si="228"/>
        <v>-99.056518070770167</v>
      </c>
      <c r="AF378" s="98" t="str">
        <f t="shared" si="214"/>
        <v>-0,0000375877424711299</v>
      </c>
      <c r="AG378" s="98" t="str">
        <f t="shared" si="215"/>
        <v>0,000253389907932573i</v>
      </c>
      <c r="AH378" s="98">
        <f t="shared" si="229"/>
        <v>2.5338990793257301E-4</v>
      </c>
      <c r="AI378" s="98">
        <f t="shared" si="230"/>
        <v>1.5707963267948966</v>
      </c>
      <c r="AJ378" s="98" t="str">
        <f t="shared" si="216"/>
        <v>1+0,231124652786128i</v>
      </c>
      <c r="AK378" s="98">
        <f t="shared" si="231"/>
        <v>1.0263618295345498</v>
      </c>
      <c r="AL378" s="98">
        <f t="shared" si="232"/>
        <v>0.22713627300542513</v>
      </c>
      <c r="AM378" s="98" t="str">
        <f t="shared" si="217"/>
        <v>1+18,0099440978729i</v>
      </c>
      <c r="AN378" s="98">
        <f t="shared" si="233"/>
        <v>18.037685173228493</v>
      </c>
      <c r="AO378" s="98">
        <f t="shared" si="234"/>
        <v>1.5153284019312481</v>
      </c>
      <c r="AP378" s="168" t="str">
        <f t="shared" si="235"/>
        <v>-2,5035649565647+0,726975121659916i</v>
      </c>
      <c r="AQ378" s="98">
        <f t="shared" si="236"/>
        <v>8.3227447854631187</v>
      </c>
      <c r="AR378" s="169">
        <f t="shared" si="237"/>
        <v>163.80797218942206</v>
      </c>
      <c r="AS378" s="168" t="str">
        <f t="shared" si="238"/>
        <v>0,607487412893756+1,28814235559879i</v>
      </c>
      <c r="AT378" s="190">
        <f t="shared" si="239"/>
        <v>3.0714325720063531</v>
      </c>
      <c r="AU378" s="169">
        <f t="shared" si="240"/>
        <v>64.751454118651893</v>
      </c>
      <c r="AV378" s="225"/>
      <c r="AX378">
        <f t="shared" si="241"/>
        <v>0</v>
      </c>
      <c r="AY378">
        <f t="shared" si="242"/>
        <v>0</v>
      </c>
    </row>
    <row r="379" spans="14:51" x14ac:dyDescent="0.25">
      <c r="N379" s="170">
        <v>61</v>
      </c>
      <c r="O379" s="199">
        <f t="shared" si="208"/>
        <v>40738.027780411358</v>
      </c>
      <c r="P379" s="189" t="str">
        <f t="shared" si="209"/>
        <v>120,833333333333</v>
      </c>
      <c r="Q379" s="160" t="str">
        <f t="shared" si="210"/>
        <v>1+228,235081687408i</v>
      </c>
      <c r="R379" s="160">
        <f t="shared" si="218"/>
        <v>228.23727240058275</v>
      </c>
      <c r="S379" s="160">
        <f t="shared" si="219"/>
        <v>1.5664149074545681</v>
      </c>
      <c r="T379" s="160" t="str">
        <f t="shared" si="211"/>
        <v>1+0,0153578746556012i</v>
      </c>
      <c r="U379" s="160">
        <f t="shared" si="220"/>
        <v>1.0001179252037917</v>
      </c>
      <c r="V379" s="160">
        <f t="shared" si="221"/>
        <v>1.535666736826047E-2</v>
      </c>
      <c r="W379" s="98" t="str">
        <f t="shared" si="212"/>
        <v>1-0,131463407051946i</v>
      </c>
      <c r="X379" s="160">
        <f t="shared" si="222"/>
        <v>1.008604296735695</v>
      </c>
      <c r="Y379" s="160">
        <f t="shared" si="223"/>
        <v>-0.13071382036979459</v>
      </c>
      <c r="Z379" s="98" t="str">
        <f t="shared" si="213"/>
        <v>0,998628440572366+0,0509206405389368i</v>
      </c>
      <c r="AA379" s="160">
        <f t="shared" si="224"/>
        <v>0.99992583422616454</v>
      </c>
      <c r="AB379" s="160">
        <f t="shared" si="225"/>
        <v>5.0946453463606253E-2</v>
      </c>
      <c r="AC379" s="171" t="str">
        <f t="shared" si="226"/>
        <v>-0,0861016242398555-0,527091521930422i</v>
      </c>
      <c r="AD379" s="190">
        <f t="shared" si="227"/>
        <v>-5.4479115235667352</v>
      </c>
      <c r="AE379" s="169">
        <f t="shared" si="228"/>
        <v>-99.277457931779253</v>
      </c>
      <c r="AF379" s="98" t="str">
        <f t="shared" si="214"/>
        <v>-0,0000375877424711299</v>
      </c>
      <c r="AG379" s="98" t="str">
        <f t="shared" si="215"/>
        <v>0,000259292117102068i</v>
      </c>
      <c r="AH379" s="98">
        <f t="shared" si="229"/>
        <v>2.59292117102068E-4</v>
      </c>
      <c r="AI379" s="98">
        <f t="shared" si="230"/>
        <v>1.5707963267948966</v>
      </c>
      <c r="AJ379" s="98" t="str">
        <f t="shared" si="216"/>
        <v>1+0,236508237539367i</v>
      </c>
      <c r="AK379" s="98">
        <f t="shared" si="231"/>
        <v>1.0275875371100884</v>
      </c>
      <c r="AL379" s="98">
        <f t="shared" si="232"/>
        <v>0.23224078372169987</v>
      </c>
      <c r="AM379" s="98" t="str">
        <f t="shared" si="217"/>
        <v>1+18,4294495867215i</v>
      </c>
      <c r="AN379" s="98">
        <f t="shared" si="233"/>
        <v>18.456560136425999</v>
      </c>
      <c r="AO379" s="98">
        <f t="shared" si="234"/>
        <v>1.51658850537326</v>
      </c>
      <c r="AP379" s="168" t="str">
        <f t="shared" si="235"/>
        <v>-2,49759600835424+0,735664950187182i</v>
      </c>
      <c r="AQ379" s="98">
        <f t="shared" si="236"/>
        <v>8.3117772530164622</v>
      </c>
      <c r="AR379" s="169">
        <f t="shared" si="237"/>
        <v>163.58770387787737</v>
      </c>
      <c r="AS379" s="168" t="str">
        <f t="shared" si="238"/>
        <v>0,60280983123931+1,25311973410333i</v>
      </c>
      <c r="AT379" s="190">
        <f t="shared" si="239"/>
        <v>2.8638657294497021</v>
      </c>
      <c r="AU379" s="169">
        <f t="shared" si="240"/>
        <v>64.310245946098007</v>
      </c>
      <c r="AV379" s="225"/>
      <c r="AX379">
        <f t="shared" si="241"/>
        <v>0</v>
      </c>
      <c r="AY379">
        <f t="shared" si="242"/>
        <v>0</v>
      </c>
    </row>
    <row r="380" spans="14:51" x14ac:dyDescent="0.25">
      <c r="N380" s="170">
        <v>62</v>
      </c>
      <c r="O380" s="199">
        <f t="shared" si="208"/>
        <v>41686.938347033625</v>
      </c>
      <c r="P380" s="189" t="str">
        <f t="shared" si="209"/>
        <v>120,833333333333</v>
      </c>
      <c r="Q380" s="160" t="str">
        <f t="shared" si="210"/>
        <v>1+233,551359683351i</v>
      </c>
      <c r="R380" s="160">
        <f t="shared" si="218"/>
        <v>233.5535005302682</v>
      </c>
      <c r="S380" s="160">
        <f t="shared" si="219"/>
        <v>1.5665146395017906</v>
      </c>
      <c r="T380" s="160" t="str">
        <f t="shared" si="211"/>
        <v>1+0,0157156055114029i</v>
      </c>
      <c r="U380" s="160">
        <f t="shared" si="220"/>
        <v>1.0001234825043306</v>
      </c>
      <c r="V380" s="160">
        <f t="shared" si="221"/>
        <v>1.5714311888336545E-2</v>
      </c>
      <c r="W380" s="98" t="str">
        <f t="shared" si="212"/>
        <v>1-0,134525583177609i</v>
      </c>
      <c r="X380" s="160">
        <f t="shared" si="222"/>
        <v>1.0090079942841266</v>
      </c>
      <c r="Y380" s="160">
        <f t="shared" si="223"/>
        <v>-0.13372277334443899</v>
      </c>
      <c r="Z380" s="98" t="str">
        <f t="shared" si="213"/>
        <v>0,998563800967976+0,0521067346259414i</v>
      </c>
      <c r="AA380" s="160">
        <f t="shared" si="224"/>
        <v>0.99992238518646537</v>
      </c>
      <c r="AB380" s="160">
        <f t="shared" si="225"/>
        <v>5.2134392820799562E-2</v>
      </c>
      <c r="AC380" s="171" t="str">
        <f t="shared" si="226"/>
        <v>-0,0862053001853324-0,514968920446308i</v>
      </c>
      <c r="AD380" s="190">
        <f t="shared" si="227"/>
        <v>-5.6443536833194505</v>
      </c>
      <c r="AE380" s="169">
        <f t="shared" si="228"/>
        <v>-99.503144853286116</v>
      </c>
      <c r="AF380" s="98" t="str">
        <f t="shared" si="214"/>
        <v>-0,0000375877424711299</v>
      </c>
      <c r="AG380" s="98" t="str">
        <f t="shared" si="215"/>
        <v>0,000265331806384187i</v>
      </c>
      <c r="AH380" s="98">
        <f t="shared" si="229"/>
        <v>2.6533180638418702E-4</v>
      </c>
      <c r="AI380" s="98">
        <f t="shared" si="230"/>
        <v>1.5707963267948966</v>
      </c>
      <c r="AJ380" s="98" t="str">
        <f t="shared" si="216"/>
        <v>1+0,242017222090707i</v>
      </c>
      <c r="AK380" s="98">
        <f t="shared" si="231"/>
        <v>1.028869445453845</v>
      </c>
      <c r="AL380" s="98">
        <f t="shared" si="232"/>
        <v>0.23745146394202951</v>
      </c>
      <c r="AM380" s="98" t="str">
        <f t="shared" si="217"/>
        <v>1+18,8587266136836i</v>
      </c>
      <c r="AN380" s="98">
        <f t="shared" si="233"/>
        <v>18.885220927742893</v>
      </c>
      <c r="AO380" s="98">
        <f t="shared" si="234"/>
        <v>1.5178200918895675</v>
      </c>
      <c r="AP380" s="168" t="str">
        <f t="shared" si="235"/>
        <v>-2,4913761820736+0,744619104013026i</v>
      </c>
      <c r="AQ380" s="98">
        <f t="shared" si="236"/>
        <v>8.3003745725873284</v>
      </c>
      <c r="AR380" s="169">
        <f t="shared" si="237"/>
        <v>163.35971860234986</v>
      </c>
      <c r="AS380" s="168" t="str">
        <f t="shared" si="238"/>
        <v>0,598225527787527+1,21879118952291i</v>
      </c>
      <c r="AT380" s="190">
        <f t="shared" si="239"/>
        <v>2.6560208892678761</v>
      </c>
      <c r="AU380" s="169">
        <f t="shared" si="240"/>
        <v>63.856573749063749</v>
      </c>
      <c r="AV380" s="225"/>
      <c r="AX380">
        <f t="shared" si="241"/>
        <v>0</v>
      </c>
      <c r="AY380">
        <f t="shared" si="242"/>
        <v>0</v>
      </c>
    </row>
    <row r="381" spans="14:51" x14ac:dyDescent="0.25">
      <c r="N381" s="170">
        <v>63</v>
      </c>
      <c r="O381" s="199">
        <f t="shared" si="208"/>
        <v>42657.951880159271</v>
      </c>
      <c r="P381" s="189" t="str">
        <f t="shared" si="209"/>
        <v>120,833333333333</v>
      </c>
      <c r="Q381" s="160" t="str">
        <f t="shared" si="210"/>
        <v>1+238,991469701614i</v>
      </c>
      <c r="R381" s="160">
        <f t="shared" si="218"/>
        <v>238.99356181733739</v>
      </c>
      <c r="S381" s="160">
        <f t="shared" si="219"/>
        <v>1.566612101452763</v>
      </c>
      <c r="T381" s="160" t="str">
        <f t="shared" si="211"/>
        <v>1+0,0160816689892674i</v>
      </c>
      <c r="U381" s="160">
        <f t="shared" si="220"/>
        <v>1.000129301679278</v>
      </c>
      <c r="V381" s="160">
        <f t="shared" si="221"/>
        <v>1.6080282856856708E-2</v>
      </c>
      <c r="W381" s="98" t="str">
        <f t="shared" si="212"/>
        <v>1-0,137659086548129i</v>
      </c>
      <c r="X381" s="160">
        <f t="shared" si="222"/>
        <v>1.009430544470131</v>
      </c>
      <c r="Y381" s="160">
        <f t="shared" si="223"/>
        <v>-0.1367992937657341</v>
      </c>
      <c r="Z381" s="98" t="str">
        <f t="shared" si="213"/>
        <v>0,998496114992884+0,0533204563933588i</v>
      </c>
      <c r="AA381" s="160">
        <f t="shared" si="224"/>
        <v>0.99991877806443807</v>
      </c>
      <c r="AB381" s="160">
        <f t="shared" si="225"/>
        <v>5.3350091726733918E-2</v>
      </c>
      <c r="AC381" s="171" t="str">
        <f t="shared" si="226"/>
        <v>-0,0863042357964777-0,503119309043889i</v>
      </c>
      <c r="AD381" s="190">
        <f t="shared" si="227"/>
        <v>-5.8406315313894908</v>
      </c>
      <c r="AE381" s="169">
        <f t="shared" si="228"/>
        <v>-99.733686472014142</v>
      </c>
      <c r="AF381" s="98" t="str">
        <f t="shared" si="214"/>
        <v>-0,0000375877424711299</v>
      </c>
      <c r="AG381" s="98" t="str">
        <f t="shared" si="215"/>
        <v>0,000271512178102132i</v>
      </c>
      <c r="AH381" s="98">
        <f t="shared" si="229"/>
        <v>2.7151217810213201E-4</v>
      </c>
      <c r="AI381" s="98">
        <f t="shared" si="230"/>
        <v>1.5707963267948966</v>
      </c>
      <c r="AJ381" s="98" t="str">
        <f t="shared" si="216"/>
        <v>1+0,247654527376675i</v>
      </c>
      <c r="AK381" s="98">
        <f t="shared" si="231"/>
        <v>1.0302100586434615</v>
      </c>
      <c r="AL381" s="98">
        <f t="shared" si="232"/>
        <v>0.2427699441322993</v>
      </c>
      <c r="AM381" s="98" t="str">
        <f t="shared" si="217"/>
        <v>1+19,2980027871209i</v>
      </c>
      <c r="AN381" s="98">
        <f t="shared" si="233"/>
        <v>19.323894834420052</v>
      </c>
      <c r="AO381" s="98">
        <f t="shared" si="234"/>
        <v>1.5190237995305547</v>
      </c>
      <c r="AP381" s="168" t="str">
        <f t="shared" si="235"/>
        <v>-2,48489634121398+0,753834342969888i</v>
      </c>
      <c r="AQ381" s="98">
        <f t="shared" si="236"/>
        <v>8.2885161669635359</v>
      </c>
      <c r="AR381" s="169">
        <f t="shared" si="237"/>
        <v>163.12395950161968</v>
      </c>
      <c r="AS381" s="168" t="str">
        <f t="shared" si="238"/>
        <v>0,5937256935305+1,18514023335011i</v>
      </c>
      <c r="AT381" s="190">
        <f t="shared" si="239"/>
        <v>2.4478846355740465</v>
      </c>
      <c r="AU381" s="169">
        <f t="shared" si="240"/>
        <v>63.390273029605517</v>
      </c>
      <c r="AV381" s="225"/>
      <c r="AX381">
        <f t="shared" si="241"/>
        <v>0</v>
      </c>
      <c r="AY381">
        <f t="shared" si="242"/>
        <v>0</v>
      </c>
    </row>
    <row r="382" spans="14:51" x14ac:dyDescent="0.25">
      <c r="N382" s="170">
        <v>64</v>
      </c>
      <c r="O382" s="199">
        <f t="shared" si="208"/>
        <v>43651.583224016598</v>
      </c>
      <c r="P382" s="189" t="str">
        <f t="shared" si="209"/>
        <v>120,833333333333</v>
      </c>
      <c r="Q382" s="160" t="str">
        <f t="shared" si="210"/>
        <v>1+244,55829616054i</v>
      </c>
      <c r="R382" s="160">
        <f t="shared" si="218"/>
        <v>244.56034065429822</v>
      </c>
      <c r="S382" s="160">
        <f t="shared" si="219"/>
        <v>1.566707344975691</v>
      </c>
      <c r="T382" s="160" t="str">
        <f t="shared" si="211"/>
        <v>1+0,016456259180896i</v>
      </c>
      <c r="U382" s="160">
        <f t="shared" si="220"/>
        <v>1.0001353950672023</v>
      </c>
      <c r="V382" s="160">
        <f t="shared" si="221"/>
        <v>1.6454773924117719E-2</v>
      </c>
      <c r="W382" s="98" t="str">
        <f t="shared" si="212"/>
        <v>1-0,14086557858847i</v>
      </c>
      <c r="X382" s="160">
        <f t="shared" si="222"/>
        <v>1.0098728193347242</v>
      </c>
      <c r="Y382" s="160">
        <f t="shared" si="223"/>
        <v>-0.13994477976914932</v>
      </c>
      <c r="Z382" s="98" t="str">
        <f t="shared" si="213"/>
        <v>0,998425239076063+0,0545624493725355i</v>
      </c>
      <c r="AA382" s="160">
        <f t="shared" si="224"/>
        <v>0.9999150058408085</v>
      </c>
      <c r="AB382" s="160">
        <f t="shared" si="225"/>
        <v>5.4594203131161624E-2</v>
      </c>
      <c r="AC382" s="171" t="str">
        <f t="shared" si="226"/>
        <v>-0,086398640792483-0,491536406665538i</v>
      </c>
      <c r="AD382" s="190">
        <f t="shared" si="227"/>
        <v>-6.0367375941917922</v>
      </c>
      <c r="AE382" s="169">
        <f t="shared" si="228"/>
        <v>-99.969192171515445</v>
      </c>
      <c r="AF382" s="98" t="str">
        <f t="shared" si="214"/>
        <v>-0,0000375877424711299</v>
      </c>
      <c r="AG382" s="98" t="str">
        <f t="shared" si="215"/>
        <v>0,000277836509170796i</v>
      </c>
      <c r="AH382" s="98">
        <f t="shared" si="229"/>
        <v>2.7783650917079602E-4</v>
      </c>
      <c r="AI382" s="98">
        <f t="shared" si="230"/>
        <v>1.5707963267948966</v>
      </c>
      <c r="AJ382" s="98" t="str">
        <f t="shared" si="216"/>
        <v>1+0,253423142371153i</v>
      </c>
      <c r="AK382" s="98">
        <f t="shared" si="231"/>
        <v>1.0316119857239299</v>
      </c>
      <c r="AL382" s="98">
        <f t="shared" si="232"/>
        <v>0.24819784018193286</v>
      </c>
      <c r="AM382" s="98" t="str">
        <f t="shared" si="217"/>
        <v>1+19,7475110170753i</v>
      </c>
      <c r="AN382" s="98">
        <f t="shared" si="233"/>
        <v>19.772814452411939</v>
      </c>
      <c r="AO382" s="98">
        <f t="shared" si="234"/>
        <v>1.5202002525574996</v>
      </c>
      <c r="AP382" s="168" t="str">
        <f t="shared" si="235"/>
        <v>-2,4781471439536+0,763307105179794i</v>
      </c>
      <c r="AQ382" s="98">
        <f t="shared" si="236"/>
        <v>8.27618081195223</v>
      </c>
      <c r="AR382" s="169">
        <f t="shared" si="237"/>
        <v>162.88036975957925</v>
      </c>
      <c r="AS382" s="168" t="str">
        <f t="shared" si="238"/>
        <v>0,589301776583715+1,15215084593264i</v>
      </c>
      <c r="AT382" s="190">
        <f t="shared" si="239"/>
        <v>2.2394432177604422</v>
      </c>
      <c r="AU382" s="169">
        <f t="shared" si="240"/>
        <v>62.911177588063801</v>
      </c>
      <c r="AV382" s="225"/>
      <c r="AX382">
        <f t="shared" si="241"/>
        <v>0</v>
      </c>
      <c r="AY382">
        <f t="shared" si="242"/>
        <v>0</v>
      </c>
    </row>
    <row r="383" spans="14:51" x14ac:dyDescent="0.25">
      <c r="N383" s="170">
        <v>65</v>
      </c>
      <c r="O383" s="199">
        <f t="shared" si="208"/>
        <v>44668.359215096389</v>
      </c>
      <c r="P383" s="189" t="str">
        <f t="shared" si="209"/>
        <v>120,833333333333</v>
      </c>
      <c r="Q383" s="160" t="str">
        <f t="shared" si="210"/>
        <v>1+250,254790665203i</v>
      </c>
      <c r="R383" s="160">
        <f t="shared" si="218"/>
        <v>250.25678862097743</v>
      </c>
      <c r="S383" s="160">
        <f t="shared" si="219"/>
        <v>1.5668004205630357</v>
      </c>
      <c r="T383" s="160" t="str">
        <f t="shared" si="211"/>
        <v>1+0,0168395746989668i</v>
      </c>
      <c r="U383" s="160">
        <f t="shared" si="220"/>
        <v>1.0001417755878623</v>
      </c>
      <c r="V383" s="160">
        <f t="shared" si="221"/>
        <v>1.6837983229839853E-2</v>
      </c>
      <c r="W383" s="98" t="str">
        <f t="shared" si="212"/>
        <v>1-0,144146759423156i</v>
      </c>
      <c r="X383" s="160">
        <f t="shared" si="222"/>
        <v>1.0103357304639866</v>
      </c>
      <c r="Y383" s="160">
        <f t="shared" si="223"/>
        <v>-0.14316065002871564</v>
      </c>
      <c r="Z383" s="98" t="str">
        <f t="shared" si="213"/>
        <v>0,998351022880191+0,0558333720845892i</v>
      </c>
      <c r="AA383" s="160">
        <f t="shared" si="224"/>
        <v>0.99991106120707551</v>
      </c>
      <c r="AB383" s="160">
        <f t="shared" si="225"/>
        <v>5.5867395645647563E-2</v>
      </c>
      <c r="AC383" s="171" t="str">
        <f t="shared" si="226"/>
        <v>-0,0864887152735332-0,480214073421147i</v>
      </c>
      <c r="AD383" s="190">
        <f t="shared" si="227"/>
        <v>-6.2326640733961209</v>
      </c>
      <c r="AE383" s="169">
        <f t="shared" si="228"/>
        <v>-100.20977308488048</v>
      </c>
      <c r="AF383" s="98" t="str">
        <f t="shared" si="214"/>
        <v>-0,0000375877424711299</v>
      </c>
      <c r="AG383" s="98" t="str">
        <f t="shared" si="215"/>
        <v>0,000284308152834223i</v>
      </c>
      <c r="AH383" s="98">
        <f t="shared" si="229"/>
        <v>2.8430815283422302E-4</v>
      </c>
      <c r="AI383" s="98">
        <f t="shared" si="230"/>
        <v>1.5707963267948966</v>
      </c>
      <c r="AJ383" s="98" t="str">
        <f t="shared" si="216"/>
        <v>1+0,25932612567017i</v>
      </c>
      <c r="AK383" s="98">
        <f t="shared" si="231"/>
        <v>1.0330779445206935</v>
      </c>
      <c r="AL383" s="98">
        <f t="shared" si="232"/>
        <v>0.25373675015109037</v>
      </c>
      <c r="AM383" s="98" t="str">
        <f t="shared" si="217"/>
        <v>1+20,2074896387602i</v>
      </c>
      <c r="AN383" s="98">
        <f t="shared" si="233"/>
        <v>20.232217809736056</v>
      </c>
      <c r="AO383" s="98">
        <f t="shared" si="234"/>
        <v>1.521350061707895</v>
      </c>
      <c r="AP383" s="168" t="str">
        <f t="shared" si="235"/>
        <v>-2,47111905072592+0,773033483990542i</v>
      </c>
      <c r="AQ383" s="98">
        <f t="shared" si="236"/>
        <v>8.2633466187224318</v>
      </c>
      <c r="AR383" s="169">
        <f t="shared" si="237"/>
        <v>162.62889280680682</v>
      </c>
      <c r="AS383" s="168" t="str">
        <f t="shared" si="238"/>
        <v>0,584945470223277+1,11980747236393i</v>
      </c>
      <c r="AT383" s="190">
        <f t="shared" si="239"/>
        <v>2.0306825453263326</v>
      </c>
      <c r="AU383" s="169">
        <f t="shared" si="240"/>
        <v>62.419119721926371</v>
      </c>
      <c r="AV383" s="225"/>
      <c r="AX383">
        <f t="shared" si="241"/>
        <v>0</v>
      </c>
      <c r="AY383">
        <f t="shared" si="242"/>
        <v>0</v>
      </c>
    </row>
    <row r="384" spans="14:51" x14ac:dyDescent="0.25">
      <c r="N384" s="170">
        <v>66</v>
      </c>
      <c r="O384" s="199">
        <f t="shared" ref="O384:O418" si="243">10^(4+(N384/100))</f>
        <v>45708.818961487581</v>
      </c>
      <c r="P384" s="189" t="str">
        <f t="shared" si="209"/>
        <v>120,833333333333</v>
      </c>
      <c r="Q384" s="160" t="str">
        <f t="shared" si="210"/>
        <v>1+256,083973572388i</v>
      </c>
      <c r="R384" s="160">
        <f t="shared" si="218"/>
        <v>256.0859260494874</v>
      </c>
      <c r="S384" s="160">
        <f t="shared" si="219"/>
        <v>1.5668913775582511</v>
      </c>
      <c r="T384" s="160" t="str">
        <f t="shared" si="211"/>
        <v>1+0,017231818782441i</v>
      </c>
      <c r="U384" s="160">
        <f t="shared" si="220"/>
        <v>1.0001484567695693</v>
      </c>
      <c r="V384" s="160">
        <f t="shared" si="221"/>
        <v>1.7230113506218451E-2</v>
      </c>
      <c r="W384" s="98" t="str">
        <f t="shared" si="212"/>
        <v>1-0,147504368777695i</v>
      </c>
      <c r="X384" s="160">
        <f t="shared" si="222"/>
        <v>1.0108202307079663</v>
      </c>
      <c r="Y384" s="160">
        <f t="shared" si="223"/>
        <v>-0.14644834343867524</v>
      </c>
      <c r="Z384" s="98" t="str">
        <f t="shared" si="213"/>
        <v>0,998273308982765+0,0571338983895638i</v>
      </c>
      <c r="AA384" s="160">
        <f t="shared" si="224"/>
        <v>0.99990693655589158</v>
      </c>
      <c r="AB384" s="160">
        <f t="shared" si="225"/>
        <v>5.7170353940597586E-2</v>
      </c>
      <c r="AC384" s="171" t="str">
        <f t="shared" si="226"/>
        <v>-0,0865746501440055-0,46914630733999i</v>
      </c>
      <c r="AD384" s="190">
        <f t="shared" si="227"/>
        <v>-6.4284028330596152</v>
      </c>
      <c r="AE384" s="169">
        <f t="shared" si="228"/>
        <v>-100.45554209487352</v>
      </c>
      <c r="AF384" s="98" t="str">
        <f t="shared" si="214"/>
        <v>-0,0000375877424711299</v>
      </c>
      <c r="AG384" s="98" t="str">
        <f t="shared" si="215"/>
        <v>0,000290930540443546i</v>
      </c>
      <c r="AH384" s="98">
        <f t="shared" si="229"/>
        <v>2.9093054044354599E-4</v>
      </c>
      <c r="AI384" s="98">
        <f t="shared" si="230"/>
        <v>1.5707963267948966</v>
      </c>
      <c r="AJ384" s="98" t="str">
        <f t="shared" si="216"/>
        <v>1+0,265366607113602i</v>
      </c>
      <c r="AK384" s="98">
        <f t="shared" si="231"/>
        <v>1.0346107655398646</v>
      </c>
      <c r="AL384" s="98">
        <f t="shared" si="232"/>
        <v>0.25938825082188449</v>
      </c>
      <c r="AM384" s="98" t="str">
        <f t="shared" si="217"/>
        <v>1+20,6781825389292i</v>
      </c>
      <c r="AN384" s="98">
        <f t="shared" si="233"/>
        <v>20.702348492701894</v>
      </c>
      <c r="AO384" s="98">
        <f t="shared" si="234"/>
        <v>1.5224738244579221</v>
      </c>
      <c r="AP384" s="168" t="str">
        <f t="shared" si="235"/>
        <v>-2,46380233324184+0,783009204363484i</v>
      </c>
      <c r="AQ384" s="98">
        <f t="shared" si="236"/>
        <v>8.2499910168781518</v>
      </c>
      <c r="AR384" s="169">
        <f t="shared" si="237"/>
        <v>162.36947253320548</v>
      </c>
      <c r="AS384" s="168" t="str">
        <f t="shared" si="238"/>
        <v>0,580648701864749+1,08809501872876i</v>
      </c>
      <c r="AT384" s="190">
        <f t="shared" si="239"/>
        <v>1.8215881838185597</v>
      </c>
      <c r="AU384" s="169">
        <f t="shared" si="240"/>
        <v>61.913930438332045</v>
      </c>
      <c r="AV384" s="225"/>
      <c r="AX384">
        <f t="shared" si="241"/>
        <v>0</v>
      </c>
      <c r="AY384">
        <f t="shared" si="242"/>
        <v>0</v>
      </c>
    </row>
    <row r="385" spans="14:51" x14ac:dyDescent="0.25">
      <c r="N385" s="170">
        <v>67</v>
      </c>
      <c r="O385" s="199">
        <f t="shared" si="243"/>
        <v>46773.514128719893</v>
      </c>
      <c r="P385" s="189" t="str">
        <f t="shared" si="209"/>
        <v>120,833333333333</v>
      </c>
      <c r="Q385" s="160" t="str">
        <f t="shared" si="210"/>
        <v>1+262,048935592035i</v>
      </c>
      <c r="R385" s="160">
        <f t="shared" si="218"/>
        <v>262.05084362565697</v>
      </c>
      <c r="S385" s="160">
        <f t="shared" si="219"/>
        <v>1.5669802641819166</v>
      </c>
      <c r="T385" s="160" t="str">
        <f t="shared" si="211"/>
        <v>1+0,0176331994043238i</v>
      </c>
      <c r="U385" s="160">
        <f t="shared" si="220"/>
        <v>1.0001554527778334</v>
      </c>
      <c r="V385" s="160">
        <f t="shared" si="221"/>
        <v>1.7631372183269014E-2</v>
      </c>
      <c r="W385" s="98" t="str">
        <f t="shared" si="212"/>
        <v>1-0,150940186901012i</v>
      </c>
      <c r="X385" s="160">
        <f t="shared" si="222"/>
        <v>1.0113273159673442</v>
      </c>
      <c r="Y385" s="160">
        <f t="shared" si="223"/>
        <v>-0.1498093187381159</v>
      </c>
      <c r="Z385" s="98" t="str">
        <f t="shared" si="213"/>
        <v>0,99819193254219+0,0584647178437214i</v>
      </c>
      <c r="AA385" s="160">
        <f t="shared" si="224"/>
        <v>0.99990262397138341</v>
      </c>
      <c r="AB385" s="160">
        <f t="shared" si="225"/>
        <v>5.8503779153824195E-2</v>
      </c>
      <c r="AC385" s="171" t="str">
        <f t="shared" si="226"/>
        <v>-0,0866566275160851-0,458327241194566i</v>
      </c>
      <c r="AD385" s="190">
        <f t="shared" si="227"/>
        <v>-6.6239453863765272</v>
      </c>
      <c r="AE385" s="169">
        <f t="shared" si="228"/>
        <v>-100.70661383129665</v>
      </c>
      <c r="AF385" s="98" t="str">
        <f t="shared" si="214"/>
        <v>-0,0000375877424711299</v>
      </c>
      <c r="AG385" s="98" t="str">
        <f t="shared" si="215"/>
        <v>0,000297707183276333i</v>
      </c>
      <c r="AH385" s="98">
        <f t="shared" si="229"/>
        <v>2.9770718327633299E-4</v>
      </c>
      <c r="AI385" s="98">
        <f t="shared" si="230"/>
        <v>1.5707963267948966</v>
      </c>
      <c r="AJ385" s="98" t="str">
        <f t="shared" si="216"/>
        <v>1+0,27154778944467i</v>
      </c>
      <c r="AK385" s="98">
        <f t="shared" si="231"/>
        <v>1.0362133959529218</v>
      </c>
      <c r="AL385" s="98">
        <f t="shared" si="232"/>
        <v>0.26515389404892981</v>
      </c>
      <c r="AM385" s="98" t="str">
        <f t="shared" si="217"/>
        <v>1+21,1598392851885i</v>
      </c>
      <c r="AN385" s="98">
        <f t="shared" si="233"/>
        <v>21.183455775085577</v>
      </c>
      <c r="AO385" s="98">
        <f t="shared" si="234"/>
        <v>1.523572125281931</v>
      </c>
      <c r="AP385" s="168" t="str">
        <f t="shared" si="235"/>
        <v>-2,45618708507372+0,79322959877258i</v>
      </c>
      <c r="AQ385" s="98">
        <f t="shared" si="236"/>
        <v>8.2360907383720612</v>
      </c>
      <c r="AR385" s="169">
        <f t="shared" si="237"/>
        <v>162.10205351196902</v>
      </c>
      <c r="AS385" s="168" t="str">
        <f t="shared" si="238"/>
        <v>0,576403622980361+1,05699884868399i</v>
      </c>
      <c r="AT385" s="190">
        <f t="shared" si="239"/>
        <v>1.6121453519955196</v>
      </c>
      <c r="AU385" s="169">
        <f t="shared" si="240"/>
        <v>61.395439680672354</v>
      </c>
      <c r="AV385" s="225"/>
      <c r="AX385">
        <f t="shared" si="241"/>
        <v>0</v>
      </c>
      <c r="AY385">
        <f t="shared" si="242"/>
        <v>0</v>
      </c>
    </row>
    <row r="386" spans="14:51" x14ac:dyDescent="0.25">
      <c r="N386" s="170">
        <v>68</v>
      </c>
      <c r="O386" s="199">
        <f t="shared" si="243"/>
        <v>47863.009232263823</v>
      </c>
      <c r="P386" s="189" t="str">
        <f t="shared" si="209"/>
        <v>120,833333333333</v>
      </c>
      <c r="Q386" s="160" t="str">
        <f t="shared" si="210"/>
        <v>1+268,152839425959i</v>
      </c>
      <c r="R386" s="160">
        <f t="shared" si="218"/>
        <v>268.15470402773872</v>
      </c>
      <c r="S386" s="160">
        <f t="shared" si="219"/>
        <v>1.567067127557275</v>
      </c>
      <c r="T386" s="160" t="str">
        <f t="shared" si="211"/>
        <v>1+0,0180439293819336i</v>
      </c>
      <c r="U386" s="160">
        <f t="shared" si="220"/>
        <v>1.0001627784453591</v>
      </c>
      <c r="V386" s="160">
        <f t="shared" si="221"/>
        <v>1.8041971496508116E-2</v>
      </c>
      <c r="W386" s="98" t="str">
        <f t="shared" si="212"/>
        <v>1-0,154456035509352i</v>
      </c>
      <c r="X386" s="160">
        <f t="shared" si="222"/>
        <v>1.0118580270498754</v>
      </c>
      <c r="Y386" s="160">
        <f t="shared" si="223"/>
        <v>-0.1532450540745213</v>
      </c>
      <c r="Z386" s="98" t="str">
        <f t="shared" si="213"/>
        <v>0,998106720948126+0,0598265360651516i</v>
      </c>
      <c r="AA386" s="160">
        <f t="shared" si="224"/>
        <v>0.99989811521943328</v>
      </c>
      <c r="AB386" s="160">
        <f t="shared" si="225"/>
        <v>5.9868389311070587E-2</v>
      </c>
      <c r="AC386" s="171" t="str">
        <f t="shared" si="226"/>
        <v>-0,0867348210946288-0,447751139394869i</v>
      </c>
      <c r="AD386" s="190">
        <f t="shared" si="227"/>
        <v>-6.8192828820444014</v>
      </c>
      <c r="AE386" s="169">
        <f t="shared" si="228"/>
        <v>-100.96310466537025</v>
      </c>
      <c r="AF386" s="98" t="str">
        <f t="shared" si="214"/>
        <v>-0,0000375877424711299</v>
      </c>
      <c r="AG386" s="98" t="str">
        <f t="shared" si="215"/>
        <v>0,000304641674398313i</v>
      </c>
      <c r="AH386" s="98">
        <f t="shared" si="229"/>
        <v>3.0464167439831299E-4</v>
      </c>
      <c r="AI386" s="98">
        <f t="shared" si="230"/>
        <v>1.5707963267948966</v>
      </c>
      <c r="AJ386" s="98" t="str">
        <f t="shared" si="216"/>
        <v>1+0,27787295000806i</v>
      </c>
      <c r="AK386" s="98">
        <f t="shared" si="231"/>
        <v>1.0378889036627099</v>
      </c>
      <c r="AL386" s="98">
        <f t="shared" si="232"/>
        <v>0.27103520290503152</v>
      </c>
      <c r="AM386" s="98" t="str">
        <f t="shared" si="217"/>
        <v>1+21,6527152583204i</v>
      </c>
      <c r="AN386" s="98">
        <f t="shared" si="233"/>
        <v>21.675794750317714</v>
      </c>
      <c r="AO386" s="98">
        <f t="shared" si="234"/>
        <v>1.5246455359087987</v>
      </c>
      <c r="AP386" s="168" t="str">
        <f t="shared" si="235"/>
        <v>-2,448263233911+0,803689582685265i</v>
      </c>
      <c r="AQ386" s="98">
        <f t="shared" si="236"/>
        <v>8.2216218023779781</v>
      </c>
      <c r="AR386" s="169">
        <f t="shared" si="237"/>
        <v>161.82658123510555</v>
      </c>
      <c r="AS386" s="168" t="str">
        <f t="shared" si="238"/>
        <v>0,572202599952942+1,02650478035239i</v>
      </c>
      <c r="AT386" s="190">
        <f t="shared" si="239"/>
        <v>1.4023389203335499</v>
      </c>
      <c r="AU386" s="169">
        <f t="shared" si="240"/>
        <v>60.863476569735241</v>
      </c>
      <c r="AV386" s="225"/>
      <c r="AX386">
        <f t="shared" si="241"/>
        <v>0</v>
      </c>
      <c r="AY386">
        <f t="shared" si="242"/>
        <v>0</v>
      </c>
    </row>
    <row r="387" spans="14:51" x14ac:dyDescent="0.25">
      <c r="N387" s="170">
        <v>69</v>
      </c>
      <c r="O387" s="199">
        <f t="shared" si="243"/>
        <v>48977.881936844598</v>
      </c>
      <c r="P387" s="189" t="str">
        <f t="shared" si="209"/>
        <v>120,833333333333</v>
      </c>
      <c r="Q387" s="160" t="str">
        <f t="shared" si="210"/>
        <v>1+274,39892144477i</v>
      </c>
      <c r="R387" s="160">
        <f t="shared" si="218"/>
        <v>274.40074360331653</v>
      </c>
      <c r="S387" s="160">
        <f t="shared" si="219"/>
        <v>1.5671520137351915</v>
      </c>
      <c r="T387" s="160" t="str">
        <f t="shared" si="211"/>
        <v>1+0,0184642264897414i</v>
      </c>
      <c r="U387" s="160">
        <f t="shared" si="220"/>
        <v>1.0001704493034498</v>
      </c>
      <c r="V387" s="160">
        <f t="shared" si="221"/>
        <v>1.8462128597019692E-2</v>
      </c>
      <c r="W387" s="98" t="str">
        <f t="shared" si="212"/>
        <v>1-0,158053778752187i</v>
      </c>
      <c r="X387" s="160">
        <f t="shared" si="222"/>
        <v>1.0124134515986269</v>
      </c>
      <c r="Y387" s="160">
        <f t="shared" si="223"/>
        <v>-0.1567570465020334</v>
      </c>
      <c r="Z387" s="98" t="str">
        <f t="shared" si="213"/>
        <v>0,998017493455356+0,0612200751079013i</v>
      </c>
      <c r="AA387" s="160">
        <f t="shared" si="224"/>
        <v>0.99989340173796959</v>
      </c>
      <c r="AB387" s="160">
        <f t="shared" si="225"/>
        <v>6.1264919758953304E-2</v>
      </c>
      <c r="AC387" s="171" t="str">
        <f t="shared" si="226"/>
        <v>-0,0868093965440902-0,437412394951296i</v>
      </c>
      <c r="AD387" s="190">
        <f t="shared" si="227"/>
        <v>-7.0144060902521836</v>
      </c>
      <c r="AE387" s="169">
        <f t="shared" si="228"/>
        <v>-101.22513270091565</v>
      </c>
      <c r="AF387" s="98" t="str">
        <f t="shared" si="214"/>
        <v>-0,0000375877424711299</v>
      </c>
      <c r="AG387" s="98" t="str">
        <f t="shared" si="215"/>
        <v>0,000311737690568469i</v>
      </c>
      <c r="AH387" s="98">
        <f t="shared" si="229"/>
        <v>3.1173769056846903E-4</v>
      </c>
      <c r="AI387" s="98">
        <f t="shared" si="230"/>
        <v>1.5707963267948966</v>
      </c>
      <c r="AJ387" s="98" t="str">
        <f t="shared" si="216"/>
        <v>1+0,284345442487627i</v>
      </c>
      <c r="AK387" s="98">
        <f t="shared" si="231"/>
        <v>1.0396404814470646</v>
      </c>
      <c r="AL387" s="98">
        <f t="shared" si="232"/>
        <v>0.27703366761860215</v>
      </c>
      <c r="AM387" s="98" t="str">
        <f t="shared" si="217"/>
        <v>1+22,1570717876898i</v>
      </c>
      <c r="AN387" s="98">
        <f t="shared" si="233"/>
        <v>22.179626466756361</v>
      </c>
      <c r="AO387" s="98">
        <f t="shared" si="234"/>
        <v>1.5256946155750617</v>
      </c>
      <c r="AP387" s="168" t="str">
        <f t="shared" si="235"/>
        <v>-2,44002055559854+0,814383629707866i</v>
      </c>
      <c r="AQ387" s="98">
        <f t="shared" si="236"/>
        <v>8.2065595012494246</v>
      </c>
      <c r="AR387" s="169">
        <f t="shared" si="237"/>
        <v>161.54300236070969</v>
      </c>
      <c r="AS387" s="168" t="str">
        <f t="shared" si="238"/>
        <v>0,568038205866332+0,996599083504424i</v>
      </c>
      <c r="AT387" s="190">
        <f t="shared" si="239"/>
        <v>1.1921534109972434</v>
      </c>
      <c r="AU387" s="169">
        <f t="shared" si="240"/>
        <v>60.317869659794042</v>
      </c>
      <c r="AV387" s="225"/>
      <c r="AX387">
        <f t="shared" si="241"/>
        <v>0</v>
      </c>
      <c r="AY387">
        <f t="shared" si="242"/>
        <v>0</v>
      </c>
    </row>
    <row r="388" spans="14:51" x14ac:dyDescent="0.25">
      <c r="N388" s="170">
        <v>70</v>
      </c>
      <c r="O388" s="199">
        <f t="shared" si="243"/>
        <v>50118.723362727294</v>
      </c>
      <c r="P388" s="189" t="str">
        <f t="shared" si="209"/>
        <v>120,833333333333</v>
      </c>
      <c r="Q388" s="160" t="str">
        <f t="shared" si="210"/>
        <v>1+280,790493403831i</v>
      </c>
      <c r="R388" s="160">
        <f t="shared" si="218"/>
        <v>280.79227408525128</v>
      </c>
      <c r="S388" s="160">
        <f t="shared" si="219"/>
        <v>1.5672349677185451</v>
      </c>
      <c r="T388" s="160" t="str">
        <f t="shared" si="211"/>
        <v>1+0,0188943135748371i</v>
      </c>
      <c r="U388" s="160">
        <f t="shared" si="220"/>
        <v>1.0001784816148886</v>
      </c>
      <c r="V388" s="160">
        <f t="shared" si="221"/>
        <v>1.8892065663950196E-2</v>
      </c>
      <c r="W388" s="98" t="str">
        <f t="shared" si="212"/>
        <v>1-0,161735324200606i</v>
      </c>
      <c r="X388" s="160">
        <f t="shared" si="222"/>
        <v>1.0129947260940084</v>
      </c>
      <c r="Y388" s="160">
        <f t="shared" si="223"/>
        <v>-0.16034681140995855</v>
      </c>
      <c r="Z388" s="98" t="str">
        <f t="shared" si="213"/>
        <v>0,997924060800405+0,0626460738448169i</v>
      </c>
      <c r="AA388" s="160">
        <f t="shared" si="224"/>
        <v>0.99988847462731589</v>
      </c>
      <c r="AB388" s="160">
        <f t="shared" si="225"/>
        <v>6.2694123610789992E-2</v>
      </c>
      <c r="AC388" s="171" t="str">
        <f t="shared" si="226"/>
        <v>-0,0868805118382613-0,427305526504751i</v>
      </c>
      <c r="AD388" s="190">
        <f t="shared" si="227"/>
        <v>-7.2093053882919982</v>
      </c>
      <c r="AE388" s="169">
        <f t="shared" si="228"/>
        <v>-101.49281776210661</v>
      </c>
      <c r="AF388" s="98" t="str">
        <f t="shared" si="214"/>
        <v>-0,0000375877424711299</v>
      </c>
      <c r="AG388" s="98" t="str">
        <f t="shared" si="215"/>
        <v>0,000318998994188501i</v>
      </c>
      <c r="AH388" s="98">
        <f t="shared" si="229"/>
        <v>3.1899899418850103E-4</v>
      </c>
      <c r="AI388" s="98">
        <f t="shared" si="230"/>
        <v>1.5707963267948966</v>
      </c>
      <c r="AJ388" s="98" t="str">
        <f t="shared" si="216"/>
        <v>1+0,29096869868456i</v>
      </c>
      <c r="AK388" s="98">
        <f t="shared" si="231"/>
        <v>1.0414714511757805</v>
      </c>
      <c r="AL388" s="98">
        <f t="shared" si="232"/>
        <v>0.28315074130007584</v>
      </c>
      <c r="AM388" s="98" t="str">
        <f t="shared" si="217"/>
        <v>1+22,6731762898046i</v>
      </c>
      <c r="AN388" s="98">
        <f t="shared" si="233"/>
        <v>22.695218066115988</v>
      </c>
      <c r="AO388" s="98">
        <f t="shared" si="234"/>
        <v>1.5267199112747205</v>
      </c>
      <c r="AP388" s="168" t="str">
        <f t="shared" si="235"/>
        <v>-2,43144869006917+0,825305746490855i</v>
      </c>
      <c r="AQ388" s="98">
        <f t="shared" si="236"/>
        <v>8.1908783877001365</v>
      </c>
      <c r="AR388" s="169">
        <f t="shared" si="237"/>
        <v>161.25126497213407</v>
      </c>
      <c r="AS388" s="168" t="str">
        <f t="shared" si="238"/>
        <v>0,563903213233351+0,96726847700111i</v>
      </c>
      <c r="AT388" s="190">
        <f t="shared" si="239"/>
        <v>0.98157299940813947</v>
      </c>
      <c r="AU388" s="169">
        <f t="shared" si="240"/>
        <v>59.758447210027448</v>
      </c>
      <c r="AV388" s="225"/>
      <c r="AX388">
        <f t="shared" si="241"/>
        <v>0</v>
      </c>
      <c r="AY388">
        <f t="shared" si="242"/>
        <v>0</v>
      </c>
    </row>
    <row r="389" spans="14:51" x14ac:dyDescent="0.25">
      <c r="N389" s="170">
        <v>71</v>
      </c>
      <c r="O389" s="199">
        <f t="shared" si="243"/>
        <v>51286.138399136544</v>
      </c>
      <c r="P389" s="189" t="str">
        <f t="shared" si="209"/>
        <v>120,833333333333</v>
      </c>
      <c r="Q389" s="160" t="str">
        <f t="shared" si="210"/>
        <v>1+287,330944199196i</v>
      </c>
      <c r="R389" s="160">
        <f t="shared" si="218"/>
        <v>287.33268434760691</v>
      </c>
      <c r="S389" s="160">
        <f t="shared" si="219"/>
        <v>1.5673160334860667</v>
      </c>
      <c r="T389" s="160" t="str">
        <f t="shared" si="211"/>
        <v>1+0,019334418675086i</v>
      </c>
      <c r="U389" s="160">
        <f t="shared" si="220"/>
        <v>1.0001868924083657</v>
      </c>
      <c r="V389" s="160">
        <f t="shared" si="221"/>
        <v>1.9332010019481878E-2</v>
      </c>
      <c r="W389" s="98" t="str">
        <f t="shared" si="212"/>
        <v>1-0,165502623858736i</v>
      </c>
      <c r="X389" s="160">
        <f t="shared" si="222"/>
        <v>1.013603037931579</v>
      </c>
      <c r="Y389" s="160">
        <f t="shared" si="223"/>
        <v>-0.16401588187690419</v>
      </c>
      <c r="Z389" s="98" t="str">
        <f t="shared" si="213"/>
        <v>0,997826224800086+0,064105288359304i</v>
      </c>
      <c r="AA389" s="160">
        <f t="shared" si="224"/>
        <v>0.99988332464064089</v>
      </c>
      <c r="AB389" s="160">
        <f t="shared" si="225"/>
        <v>6.4156772205812521E-2</v>
      </c>
      <c r="AC389" s="171" t="str">
        <f t="shared" si="226"/>
        <v>-0,0869483175935701-0,417425175422304i</v>
      </c>
      <c r="AD389" s="190">
        <f t="shared" si="227"/>
        <v>-7.4039707458022868</v>
      </c>
      <c r="AE389" s="169">
        <f t="shared" si="228"/>
        <v>-101.76628137755367</v>
      </c>
      <c r="AF389" s="98" t="str">
        <f t="shared" si="214"/>
        <v>-0,0000375877424711299</v>
      </c>
      <c r="AG389" s="98" t="str">
        <f t="shared" si="215"/>
        <v>0,000326429435297702i</v>
      </c>
      <c r="AH389" s="98">
        <f t="shared" si="229"/>
        <v>3.2642943529770201E-4</v>
      </c>
      <c r="AI389" s="98">
        <f t="shared" si="230"/>
        <v>1.5707963267948966</v>
      </c>
      <c r="AJ389" s="98" t="str">
        <f t="shared" si="216"/>
        <v>1+0,297746230336961i</v>
      </c>
      <c r="AK389" s="98">
        <f t="shared" si="231"/>
        <v>1.0433852680960523</v>
      </c>
      <c r="AL389" s="98">
        <f t="shared" si="232"/>
        <v>0.28938783545553748</v>
      </c>
      <c r="AM389" s="98" t="str">
        <f t="shared" si="217"/>
        <v>1+23,2013024101032i</v>
      </c>
      <c r="AN389" s="98">
        <f t="shared" si="233"/>
        <v>23.222842925125693</v>
      </c>
      <c r="AO389" s="98">
        <f t="shared" si="234"/>
        <v>1.5277219580056347</v>
      </c>
      <c r="AP389" s="168" t="str">
        <f t="shared" si="235"/>
        <v>-2,42253715928103+0,836449447503044i</v>
      </c>
      <c r="AQ389" s="98">
        <f t="shared" si="236"/>
        <v>8.1745522633504439</v>
      </c>
      <c r="AR389" s="169">
        <f t="shared" si="237"/>
        <v>160.95131884915656</v>
      </c>
      <c r="AS389" s="168" t="str">
        <f t="shared" si="238"/>
        <v>0,55979058766324+0,938500126467473i</v>
      </c>
      <c r="AT389" s="190">
        <f t="shared" si="239"/>
        <v>0.77058151754816018</v>
      </c>
      <c r="AU389" s="169">
        <f t="shared" si="240"/>
        <v>59.185037471602882</v>
      </c>
      <c r="AV389" s="225"/>
      <c r="AX389">
        <f t="shared" si="241"/>
        <v>0</v>
      </c>
      <c r="AY389">
        <f t="shared" si="242"/>
        <v>0</v>
      </c>
    </row>
    <row r="390" spans="14:51" x14ac:dyDescent="0.25">
      <c r="N390" s="170">
        <v>72</v>
      </c>
      <c r="O390" s="199">
        <f t="shared" si="243"/>
        <v>52480.746024977314</v>
      </c>
      <c r="P390" s="189" t="str">
        <f t="shared" si="209"/>
        <v>120,833333333333</v>
      </c>
      <c r="Q390" s="160" t="str">
        <f t="shared" si="210"/>
        <v>1+294,02374166445i</v>
      </c>
      <c r="R390" s="160">
        <f t="shared" si="218"/>
        <v>294.02544220247881</v>
      </c>
      <c r="S390" s="160">
        <f t="shared" si="219"/>
        <v>1.5673952540156348</v>
      </c>
      <c r="T390" s="160" t="str">
        <f t="shared" si="211"/>
        <v>1+0,0197847751400376i</v>
      </c>
      <c r="U390" s="160">
        <f t="shared" si="220"/>
        <v>1.0001956995145209</v>
      </c>
      <c r="V390" s="160">
        <f t="shared" si="221"/>
        <v>1.9782194246331077E-2</v>
      </c>
      <c r="W390" s="98" t="str">
        <f t="shared" si="212"/>
        <v>1-0,169357675198722i</v>
      </c>
      <c r="X390" s="160">
        <f t="shared" si="222"/>
        <v>1.0142396275775838</v>
      </c>
      <c r="Y390" s="160">
        <f t="shared" si="223"/>
        <v>-0.16776580794570062</v>
      </c>
      <c r="Z390" s="98" t="str">
        <f t="shared" si="213"/>
        <v>0,997723777931125+0,0655984923462127i</v>
      </c>
      <c r="AA390" s="160">
        <f t="shared" si="224"/>
        <v>0.99987794217457004</v>
      </c>
      <c r="AB390" s="160">
        <f t="shared" si="225"/>
        <v>6.5653655582288292E-2</v>
      </c>
      <c r="AC390" s="171" t="str">
        <f t="shared" si="226"/>
        <v>-0,0870129573866175-0,407766102956913i</v>
      </c>
      <c r="AD390" s="190">
        <f t="shared" si="227"/>
        <v>-7.5983917096500742</v>
      </c>
      <c r="AE390" s="169">
        <f t="shared" si="228"/>
        <v>-102.04564676047028</v>
      </c>
      <c r="AF390" s="98" t="str">
        <f t="shared" si="214"/>
        <v>-0,0000375877424711299</v>
      </c>
      <c r="AG390" s="98" t="str">
        <f t="shared" si="215"/>
        <v>0,000334032953614302i</v>
      </c>
      <c r="AH390" s="98">
        <f t="shared" si="229"/>
        <v>3.34032953614302E-4</v>
      </c>
      <c r="AI390" s="98">
        <f t="shared" si="230"/>
        <v>1.5707963267948966</v>
      </c>
      <c r="AJ390" s="98" t="str">
        <f t="shared" si="216"/>
        <v>1+0,304681630981823i</v>
      </c>
      <c r="AK390" s="98">
        <f t="shared" si="231"/>
        <v>1.0453855251808988</v>
      </c>
      <c r="AL390" s="98">
        <f t="shared" si="232"/>
        <v>0.29574631528680934</v>
      </c>
      <c r="AM390" s="98" t="str">
        <f t="shared" si="217"/>
        <v>1+23,7417301680452i</v>
      </c>
      <c r="AN390" s="98">
        <f t="shared" si="233"/>
        <v>23.762780800492763</v>
      </c>
      <c r="AO390" s="98">
        <f t="shared" si="234"/>
        <v>1.528701279012439</v>
      </c>
      <c r="AP390" s="168" t="str">
        <f t="shared" si="235"/>
        <v>-2,4132753872686+0,847807729798187i</v>
      </c>
      <c r="AQ390" s="98">
        <f t="shared" si="236"/>
        <v>8.1575541687925863</v>
      </c>
      <c r="AR390" s="169">
        <f t="shared" si="237"/>
        <v>160.64311575118415</v>
      </c>
      <c r="AS390" s="168" t="str">
        <f t="shared" si="238"/>
        <v>0,55569348247113+0,910281642163377i</v>
      </c>
      <c r="AT390" s="190">
        <f t="shared" si="239"/>
        <v>0.55916245914250984</v>
      </c>
      <c r="AU390" s="169">
        <f t="shared" si="240"/>
        <v>58.597468990713836</v>
      </c>
      <c r="AV390" s="225"/>
      <c r="AX390">
        <f t="shared" si="241"/>
        <v>0</v>
      </c>
      <c r="AY390">
        <f t="shared" si="242"/>
        <v>0</v>
      </c>
    </row>
    <row r="391" spans="14:51" x14ac:dyDescent="0.25">
      <c r="N391" s="170">
        <v>73</v>
      </c>
      <c r="O391" s="199">
        <f t="shared" si="243"/>
        <v>53703.179637025423</v>
      </c>
      <c r="P391" s="189" t="str">
        <f t="shared" si="209"/>
        <v>120,833333333333</v>
      </c>
      <c r="Q391" s="160" t="str">
        <f t="shared" si="210"/>
        <v>1+300,872434409398i</v>
      </c>
      <c r="R391" s="160">
        <f t="shared" si="218"/>
        <v>300.87409623867171</v>
      </c>
      <c r="S391" s="160">
        <f t="shared" si="219"/>
        <v>1.567472671307043</v>
      </c>
      <c r="T391" s="160" t="str">
        <f t="shared" si="211"/>
        <v>1+0,020245621754651i</v>
      </c>
      <c r="U391" s="160">
        <f t="shared" si="220"/>
        <v>1.0002049216036843</v>
      </c>
      <c r="V391" s="160">
        <f t="shared" si="221"/>
        <v>2.0242856307819673E-2</v>
      </c>
      <c r="W391" s="98" t="str">
        <f t="shared" si="212"/>
        <v>1-0,173302522219813i</v>
      </c>
      <c r="X391" s="160">
        <f t="shared" si="222"/>
        <v>1.0149057908041261</v>
      </c>
      <c r="Y391" s="160">
        <f t="shared" si="223"/>
        <v>-0.1715981558140697</v>
      </c>
      <c r="Z391" s="98" t="str">
        <f t="shared" si="213"/>
        <v>0,997616502889978+0,0671264775220622i</v>
      </c>
      <c r="AA391" s="160">
        <f t="shared" si="224"/>
        <v>0.99987231726003356</v>
      </c>
      <c r="AB391" s="160">
        <f t="shared" si="225"/>
        <v>6.7185582965099896E-2</v>
      </c>
      <c r="AC391" s="171" t="str">
        <f t="shared" si="226"/>
        <v>-0,0870745680566135-0,398323187469663i</v>
      </c>
      <c r="AD391" s="190">
        <f t="shared" si="227"/>
        <v>-7.7925573884640702</v>
      </c>
      <c r="AE391" s="169">
        <f t="shared" si="228"/>
        <v>-102.33103878466341</v>
      </c>
      <c r="AF391" s="98" t="str">
        <f t="shared" si="214"/>
        <v>-0,0000375877424711299</v>
      </c>
      <c r="AG391" s="98" t="str">
        <f t="shared" si="215"/>
        <v>0,000341813580624359i</v>
      </c>
      <c r="AH391" s="98">
        <f t="shared" si="229"/>
        <v>3.4181358062435898E-4</v>
      </c>
      <c r="AI391" s="98">
        <f t="shared" si="230"/>
        <v>1.5707963267948966</v>
      </c>
      <c r="AJ391" s="98" t="str">
        <f t="shared" si="216"/>
        <v>1+0,311778577860371i</v>
      </c>
      <c r="AK391" s="98">
        <f t="shared" si="231"/>
        <v>1.047475957534413</v>
      </c>
      <c r="AL391" s="98">
        <f t="shared" si="232"/>
        <v>0.30222749477834782</v>
      </c>
      <c r="AM391" s="98" t="str">
        <f t="shared" si="217"/>
        <v>1+24,2947461055812i</v>
      </c>
      <c r="AN391" s="98">
        <f t="shared" si="233"/>
        <v>24.315317977247446</v>
      </c>
      <c r="AO391" s="98">
        <f t="shared" si="234"/>
        <v>1.5296583860259167</v>
      </c>
      <c r="AP391" s="168" t="str">
        <f t="shared" si="235"/>
        <v>-2,40365272241274+0,859373047912696i</v>
      </c>
      <c r="AQ391" s="98">
        <f t="shared" si="236"/>
        <v>8.1398563753352331</v>
      </c>
      <c r="AR391" s="169">
        <f t="shared" si="237"/>
        <v>160.32660971246685</v>
      </c>
      <c r="AS391" s="168" t="str">
        <f t="shared" si="238"/>
        <v>0,551605234232297+0,882601077015082i</v>
      </c>
      <c r="AT391" s="190">
        <f t="shared" si="239"/>
        <v>0.34729898687116356</v>
      </c>
      <c r="AU391" s="169">
        <f t="shared" si="240"/>
        <v>57.995570927803421</v>
      </c>
      <c r="AV391" s="225"/>
      <c r="AX391">
        <f t="shared" si="241"/>
        <v>0</v>
      </c>
      <c r="AY391">
        <f t="shared" si="242"/>
        <v>0</v>
      </c>
    </row>
    <row r="392" spans="14:51" x14ac:dyDescent="0.25">
      <c r="N392" s="170">
        <v>74</v>
      </c>
      <c r="O392" s="199">
        <f t="shared" si="243"/>
        <v>54954.087385762505</v>
      </c>
      <c r="P392" s="189" t="str">
        <f t="shared" si="209"/>
        <v>120,833333333333</v>
      </c>
      <c r="Q392" s="160" t="str">
        <f t="shared" si="210"/>
        <v>1+307,880653701588i</v>
      </c>
      <c r="R392" s="160">
        <f t="shared" si="218"/>
        <v>307.882277703211</v>
      </c>
      <c r="S392" s="160">
        <f t="shared" si="219"/>
        <v>1.5675483264042498</v>
      </c>
      <c r="T392" s="160" t="str">
        <f t="shared" si="211"/>
        <v>1+0,0207172028659011i</v>
      </c>
      <c r="U392" s="160">
        <f t="shared" si="220"/>
        <v>1.000214578225386</v>
      </c>
      <c r="V392" s="160">
        <f t="shared" si="221"/>
        <v>2.0714239670566542E-2</v>
      </c>
      <c r="W392" s="98" t="str">
        <f t="shared" si="212"/>
        <v>1-0,177339256532114i</v>
      </c>
      <c r="X392" s="160">
        <f t="shared" si="222"/>
        <v>1.0156028810058402</v>
      </c>
      <c r="Y392" s="160">
        <f t="shared" si="223"/>
        <v>-0.17551450693580473</v>
      </c>
      <c r="Z392" s="98" t="str">
        <f t="shared" si="213"/>
        <v>0,997504172131899+0,0686900540448177i</v>
      </c>
      <c r="AA392" s="160">
        <f t="shared" si="224"/>
        <v>0.99986643955341614</v>
      </c>
      <c r="AB392" s="160">
        <f t="shared" si="225"/>
        <v>6.8753383268357268E-2</v>
      </c>
      <c r="AC392" s="171" t="str">
        <f t="shared" si="226"/>
        <v>-0,0871332799933364-0,389091421713145i</v>
      </c>
      <c r="AD392" s="190">
        <f t="shared" si="227"/>
        <v>-7.9864564368301041</v>
      </c>
      <c r="AE392" s="169">
        <f t="shared" si="228"/>
        <v>-102.62258395607667</v>
      </c>
      <c r="AF392" s="98" t="str">
        <f t="shared" si="214"/>
        <v>-0,0000375877424711299</v>
      </c>
      <c r="AG392" s="98" t="str">
        <f t="shared" si="215"/>
        <v>0,000349775441719298i</v>
      </c>
      <c r="AH392" s="98">
        <f t="shared" si="229"/>
        <v>3.49775441719298E-4</v>
      </c>
      <c r="AI392" s="98">
        <f t="shared" si="230"/>
        <v>1.5707963267948966</v>
      </c>
      <c r="AJ392" s="98" t="str">
        <f t="shared" si="216"/>
        <v>1+0,319040833867776i</v>
      </c>
      <c r="AK392" s="98">
        <f t="shared" si="231"/>
        <v>1.049660446847001</v>
      </c>
      <c r="AL392" s="98">
        <f t="shared" si="232"/>
        <v>0.30883263157260471</v>
      </c>
      <c r="AM392" s="98" t="str">
        <f t="shared" si="217"/>
        <v>1+24,8606434390814i</v>
      </c>
      <c r="AN392" s="98">
        <f t="shared" si="233"/>
        <v>24.880747420548705</v>
      </c>
      <c r="AO392" s="98">
        <f t="shared" si="234"/>
        <v>1.5305937794987854</v>
      </c>
      <c r="AP392" s="168" t="str">
        <f t="shared" si="235"/>
        <v>-2,39365846203101+0,871137289048949i</v>
      </c>
      <c r="AQ392" s="98">
        <f t="shared" si="236"/>
        <v>8.1214303785976902</v>
      </c>
      <c r="AR392" s="169">
        <f t="shared" si="237"/>
        <v>160.00175734922871</v>
      </c>
      <c r="AS392" s="168" t="str">
        <f t="shared" si="238"/>
        <v>0,547519359283957+0,855446924768008i</v>
      </c>
      <c r="AT392" s="190">
        <f t="shared" si="239"/>
        <v>0.13497394176758692</v>
      </c>
      <c r="AU392" s="169">
        <f t="shared" si="240"/>
        <v>57.379173393152087</v>
      </c>
      <c r="AV392" s="225"/>
      <c r="AX392">
        <f t="shared" si="241"/>
        <v>54954.087385762505</v>
      </c>
      <c r="AY392">
        <f t="shared" si="242"/>
        <v>57.379173393152087</v>
      </c>
    </row>
    <row r="393" spans="14:51" x14ac:dyDescent="0.25">
      <c r="N393" s="170">
        <v>75</v>
      </c>
      <c r="O393" s="199">
        <f t="shared" si="243"/>
        <v>56234.132519034953</v>
      </c>
      <c r="P393" s="189" t="str">
        <f t="shared" si="209"/>
        <v>120,833333333333</v>
      </c>
      <c r="Q393" s="160" t="str">
        <f t="shared" si="210"/>
        <v>1+315,052115391652i</v>
      </c>
      <c r="R393" s="160">
        <f t="shared" si="218"/>
        <v>315.05370242667334</v>
      </c>
      <c r="S393" s="160">
        <f t="shared" si="219"/>
        <v>1.5676222594171232</v>
      </c>
      <c r="T393" s="160" t="str">
        <f t="shared" si="211"/>
        <v>1+0,0211997685123354i</v>
      </c>
      <c r="U393" s="160">
        <f t="shared" si="220"/>
        <v>1.000224689849724</v>
      </c>
      <c r="V393" s="160">
        <f t="shared" si="221"/>
        <v>2.1196593429850193E-2</v>
      </c>
      <c r="W393" s="98" t="str">
        <f t="shared" si="212"/>
        <v>1-0,181470018465591i</v>
      </c>
      <c r="X393" s="160">
        <f t="shared" si="222"/>
        <v>1.0163323115998535</v>
      </c>
      <c r="Y393" s="160">
        <f t="shared" si="223"/>
        <v>-0.17951645702704672</v>
      </c>
      <c r="Z393" s="98" t="str">
        <f t="shared" si="213"/>
        <v>0,997386547388291+0,0702900509434482i</v>
      </c>
      <c r="AA393" s="160">
        <f t="shared" si="224"/>
        <v>0.99986029832810552</v>
      </c>
      <c r="AB393" s="160">
        <f t="shared" si="225"/>
        <v>7.0357905613655222E-2</v>
      </c>
      <c r="AC393" s="171" t="str">
        <f t="shared" si="226"/>
        <v>-0,087189217411206-0,380065910174404i</v>
      </c>
      <c r="AD393" s="190">
        <f t="shared" si="227"/>
        <v>-8.1800770391677773</v>
      </c>
      <c r="AE393" s="169">
        <f t="shared" si="228"/>
        <v>-102.92041037961189</v>
      </c>
      <c r="AF393" s="98" t="str">
        <f t="shared" si="214"/>
        <v>-0,0000375877424711299</v>
      </c>
      <c r="AG393" s="98" t="str">
        <f t="shared" si="215"/>
        <v>0,000357922758383263i</v>
      </c>
      <c r="AH393" s="98">
        <f t="shared" si="229"/>
        <v>3.5792275838326297E-4</v>
      </c>
      <c r="AI393" s="98">
        <f t="shared" si="230"/>
        <v>1.5707963267948966</v>
      </c>
      <c r="AJ393" s="98" t="str">
        <f t="shared" si="216"/>
        <v>1+0,326472249548303i</v>
      </c>
      <c r="AK393" s="98">
        <f t="shared" si="231"/>
        <v>1.0519430258930993</v>
      </c>
      <c r="AL393" s="98">
        <f t="shared" si="232"/>
        <v>0.31556292163695859</v>
      </c>
      <c r="AM393" s="98" t="str">
        <f t="shared" si="217"/>
        <v>1+25,4397222148025i</v>
      </c>
      <c r="AN393" s="98">
        <f t="shared" si="233"/>
        <v>25.459368931030401</v>
      </c>
      <c r="AO393" s="98">
        <f t="shared" si="234"/>
        <v>1.5315079488378511</v>
      </c>
      <c r="AP393" s="168" t="str">
        <f t="shared" si="235"/>
        <v>-2,3832818793819+0,88309174871522i</v>
      </c>
      <c r="AQ393" s="98">
        <f t="shared" si="236"/>
        <v>8.102246894128033</v>
      </c>
      <c r="AR393" s="169">
        <f t="shared" si="237"/>
        <v>159.66851817853117</v>
      </c>
      <c r="AS393" s="168" t="str">
        <f t="shared" si="238"/>
        <v>0,543429551176572+0,828808118216672i</v>
      </c>
      <c r="AT393" s="190">
        <f t="shared" si="239"/>
        <v>-7.7830145039750359E-2</v>
      </c>
      <c r="AU393" s="169">
        <f t="shared" si="240"/>
        <v>56.748107798919264</v>
      </c>
      <c r="AV393" s="225"/>
      <c r="AX393">
        <f t="shared" si="241"/>
        <v>0</v>
      </c>
      <c r="AY393">
        <f t="shared" si="242"/>
        <v>0</v>
      </c>
    </row>
    <row r="394" spans="14:51" x14ac:dyDescent="0.25">
      <c r="N394" s="170">
        <v>76</v>
      </c>
      <c r="O394" s="199">
        <f t="shared" si="243"/>
        <v>57543.993733715732</v>
      </c>
      <c r="P394" s="189" t="str">
        <f t="shared" si="209"/>
        <v>120,833333333333</v>
      </c>
      <c r="Q394" s="160" t="str">
        <f t="shared" si="210"/>
        <v>1+322,390621883505i</v>
      </c>
      <c r="R394" s="160">
        <f t="shared" si="218"/>
        <v>322.39217279337453</v>
      </c>
      <c r="S394" s="160">
        <f t="shared" si="219"/>
        <v>1.56769450954269</v>
      </c>
      <c r="T394" s="160" t="str">
        <f t="shared" si="211"/>
        <v>1+0,021693574556647i</v>
      </c>
      <c r="U394" s="160">
        <f t="shared" si="220"/>
        <v>1.0002352779106747</v>
      </c>
      <c r="V394" s="160">
        <f t="shared" si="221"/>
        <v>2.1690172437688331E-2</v>
      </c>
      <c r="W394" s="98" t="str">
        <f t="shared" si="212"/>
        <v>1-0,185696998204898i</v>
      </c>
      <c r="X394" s="160">
        <f t="shared" si="222"/>
        <v>1.0170955585107575</v>
      </c>
      <c r="Y394" s="160">
        <f t="shared" si="223"/>
        <v>-0.18360561497202499</v>
      </c>
      <c r="Z394" s="98" t="str">
        <f t="shared" si="213"/>
        <v>0,997263379161301+0,0719273165574878i</v>
      </c>
      <c r="AA394" s="160">
        <f t="shared" si="224"/>
        <v>0.99985388246652218</v>
      </c>
      <c r="AB394" s="160">
        <f t="shared" si="225"/>
        <v>7.2000019864612783E-2</v>
      </c>
      <c r="AC394" s="171" t="str">
        <f t="shared" si="226"/>
        <v>-0,0872424986100342-0,371241866476162i</v>
      </c>
      <c r="AD394" s="190">
        <f t="shared" si="227"/>
        <v>-8.3734068933051624</v>
      </c>
      <c r="AE394" s="169">
        <f t="shared" si="228"/>
        <v>-103.22464772093855</v>
      </c>
      <c r="AF394" s="98" t="str">
        <f t="shared" si="214"/>
        <v>-0,0000375877424711299</v>
      </c>
      <c r="AG394" s="98" t="str">
        <f t="shared" si="215"/>
        <v>0,00036625985043139i</v>
      </c>
      <c r="AH394" s="98">
        <f t="shared" si="229"/>
        <v>3.6625985043138999E-4</v>
      </c>
      <c r="AI394" s="98">
        <f t="shared" si="230"/>
        <v>1.5707963267948966</v>
      </c>
      <c r="AJ394" s="98" t="str">
        <f t="shared" si="216"/>
        <v>1+0,334076765136913i</v>
      </c>
      <c r="AK394" s="98">
        <f t="shared" si="231"/>
        <v>1.0543278830631124</v>
      </c>
      <c r="AL394" s="98">
        <f t="shared" si="232"/>
        <v>0.32241949372683082</v>
      </c>
      <c r="AM394" s="98" t="str">
        <f t="shared" si="217"/>
        <v>1+26,0322894679764i</v>
      </c>
      <c r="AN394" s="98">
        <f t="shared" si="233"/>
        <v>26.051489303771387</v>
      </c>
      <c r="AO394" s="98">
        <f t="shared" si="234"/>
        <v>1.5324013726325003</v>
      </c>
      <c r="AP394" s="168" t="str">
        <f t="shared" si="235"/>
        <v>-2,37251225316968+0,895227107010119i</v>
      </c>
      <c r="AQ394" s="98">
        <f t="shared" si="236"/>
        <v>8.0822758552308755</v>
      </c>
      <c r="AR394" s="169">
        <f t="shared" si="237"/>
        <v>159.32685494860436</v>
      </c>
      <c r="AS394" s="168" t="str">
        <f t="shared" si="238"/>
        <v>0,539329679075936+0,802674027465281i</v>
      </c>
      <c r="AT394" s="190">
        <f t="shared" si="239"/>
        <v>-0.29113103807428714</v>
      </c>
      <c r="AU394" s="169">
        <f t="shared" si="240"/>
        <v>56.102207227665822</v>
      </c>
      <c r="AV394" s="225"/>
      <c r="AX394">
        <f t="shared" si="241"/>
        <v>0</v>
      </c>
      <c r="AY394">
        <f t="shared" si="242"/>
        <v>0</v>
      </c>
    </row>
    <row r="395" spans="14:51" x14ac:dyDescent="0.25">
      <c r="N395" s="170">
        <v>77</v>
      </c>
      <c r="O395" s="199">
        <f t="shared" si="243"/>
        <v>58884.365535558936</v>
      </c>
      <c r="P395" s="189" t="str">
        <f t="shared" si="209"/>
        <v>120,833333333333</v>
      </c>
      <c r="Q395" s="160" t="str">
        <f t="shared" si="210"/>
        <v>1+329,900064150425i</v>
      </c>
      <c r="R395" s="160">
        <f t="shared" si="218"/>
        <v>329.90157975744</v>
      </c>
      <c r="S395" s="160">
        <f t="shared" si="219"/>
        <v>1.5677651150859047</v>
      </c>
      <c r="T395" s="160" t="str">
        <f t="shared" si="211"/>
        <v>1+0,0221988828213369i</v>
      </c>
      <c r="U395" s="160">
        <f t="shared" si="220"/>
        <v>1.0002463648514377</v>
      </c>
      <c r="V395" s="160">
        <f t="shared" si="221"/>
        <v>2.2195237433686059E-2</v>
      </c>
      <c r="W395" s="98" t="str">
        <f t="shared" si="212"/>
        <v>1-0,190022436950644i</v>
      </c>
      <c r="X395" s="160">
        <f t="shared" si="222"/>
        <v>1.0178941627422085</v>
      </c>
      <c r="Y395" s="160">
        <f t="shared" si="223"/>
        <v>-0.1877836016224867</v>
      </c>
      <c r="Z395" s="98" t="str">
        <f t="shared" si="213"/>
        <v>0,997134406194607+0,0736027189868367i</v>
      </c>
      <c r="AA395" s="160">
        <f t="shared" si="224"/>
        <v>0.99984718045275645</v>
      </c>
      <c r="AB395" s="160">
        <f t="shared" si="225"/>
        <v>7.3680617178369476E-2</v>
      </c>
      <c r="AC395" s="171" t="str">
        <f t="shared" si="226"/>
        <v>-0,0872932362229723-0,362614610834827i</v>
      </c>
      <c r="AD395" s="190">
        <f t="shared" si="227"/>
        <v>-8.5664331937764384</v>
      </c>
      <c r="AE395" s="169">
        <f t="shared" si="228"/>
        <v>-103.53542716299731</v>
      </c>
      <c r="AF395" s="98" t="str">
        <f t="shared" si="214"/>
        <v>-0,0000375877424711299</v>
      </c>
      <c r="AG395" s="98" t="str">
        <f t="shared" si="215"/>
        <v>0,000374791138300239i</v>
      </c>
      <c r="AH395" s="98">
        <f t="shared" si="229"/>
        <v>3.7479113830023901E-4</v>
      </c>
      <c r="AI395" s="98">
        <f t="shared" si="230"/>
        <v>1.5707963267948966</v>
      </c>
      <c r="AJ395" s="98" t="str">
        <f t="shared" si="216"/>
        <v>1+0,341858412648426i</v>
      </c>
      <c r="AK395" s="98">
        <f t="shared" si="231"/>
        <v>1.0568193669206207</v>
      </c>
      <c r="AL395" s="98">
        <f t="shared" si="232"/>
        <v>0.32940340365137716</v>
      </c>
      <c r="AM395" s="98" t="str">
        <f t="shared" si="217"/>
        <v>1+26,6386593856043i</v>
      </c>
      <c r="AN395" s="98">
        <f t="shared" si="233"/>
        <v>26.657422490973204</v>
      </c>
      <c r="AO395" s="98">
        <f t="shared" si="234"/>
        <v>1.5332745188795101</v>
      </c>
      <c r="AP395" s="168" t="str">
        <f t="shared" si="235"/>
        <v>-2,36133889962516+0,907533405756496i</v>
      </c>
      <c r="AQ395" s="98">
        <f t="shared" si="236"/>
        <v>8.0614864131930783</v>
      </c>
      <c r="AR395" s="169">
        <f t="shared" si="237"/>
        <v>158.9767339802797</v>
      </c>
      <c r="AS395" s="168" t="str">
        <f t="shared" si="238"/>
        <v>0,53521378711547+0,777034458167776i</v>
      </c>
      <c r="AT395" s="190">
        <f t="shared" si="239"/>
        <v>-0.50494678058335229</v>
      </c>
      <c r="AU395" s="169">
        <f t="shared" si="240"/>
        <v>55.441306817282374</v>
      </c>
      <c r="AV395" s="225"/>
      <c r="AX395">
        <f t="shared" si="241"/>
        <v>0</v>
      </c>
      <c r="AY395">
        <f t="shared" si="242"/>
        <v>0</v>
      </c>
    </row>
    <row r="396" spans="14:51" x14ac:dyDescent="0.25">
      <c r="N396" s="170">
        <v>78</v>
      </c>
      <c r="O396" s="199">
        <f t="shared" si="243"/>
        <v>60255.95860743591</v>
      </c>
      <c r="P396" s="189" t="str">
        <f t="shared" si="209"/>
        <v>120,833333333333</v>
      </c>
      <c r="Q396" s="160" t="str">
        <f t="shared" si="210"/>
        <v>1+337,584423798102i</v>
      </c>
      <c r="R396" s="160">
        <f t="shared" si="218"/>
        <v>337.58590490584254</v>
      </c>
      <c r="S396" s="160">
        <f t="shared" si="219"/>
        <v>1.5678341134799429</v>
      </c>
      <c r="T396" s="160" t="str">
        <f t="shared" si="211"/>
        <v>1+0,0227159612275357i</v>
      </c>
      <c r="U396" s="160">
        <f t="shared" si="220"/>
        <v>1.0002579741719089</v>
      </c>
      <c r="V396" s="160">
        <f t="shared" si="221"/>
        <v>2.2712055178699998E-2</v>
      </c>
      <c r="W396" s="98" t="str">
        <f t="shared" si="212"/>
        <v>1-0,194448628107706i</v>
      </c>
      <c r="X396" s="160">
        <f t="shared" si="222"/>
        <v>1.018729733036672</v>
      </c>
      <c r="Y396" s="160">
        <f t="shared" si="223"/>
        <v>-0.19205204848484672</v>
      </c>
      <c r="Z396" s="98" t="str">
        <f t="shared" si="213"/>
        <v>0,996999354919255+0,0753171465520398i</v>
      </c>
      <c r="AA396" s="160">
        <f t="shared" si="224"/>
        <v>0.99984018036591837</v>
      </c>
      <c r="AB396" s="160">
        <f t="shared" si="225"/>
        <v>7.5400610574749116E-2</v>
      </c>
      <c r="AC396" s="171" t="str">
        <f t="shared" si="226"/>
        <v>-0,087341537452172-0,354179567574019i</v>
      </c>
      <c r="AD396" s="190">
        <f t="shared" si="227"/>
        <v>-8.7591426148668621</v>
      </c>
      <c r="AE396" s="169">
        <f t="shared" si="228"/>
        <v>-103.85288135689414</v>
      </c>
      <c r="AF396" s="98" t="str">
        <f t="shared" si="214"/>
        <v>-0,0000375877424711299</v>
      </c>
      <c r="AG396" s="98" t="str">
        <f t="shared" si="215"/>
        <v>0,000383521145391562i</v>
      </c>
      <c r="AH396" s="98">
        <f t="shared" si="229"/>
        <v>3.8352114539156202E-4</v>
      </c>
      <c r="AI396" s="98">
        <f t="shared" si="230"/>
        <v>1.5707963267948966</v>
      </c>
      <c r="AJ396" s="98" t="str">
        <f t="shared" si="216"/>
        <v>1+0,349821318015358i</v>
      </c>
      <c r="AK396" s="98">
        <f t="shared" si="231"/>
        <v>1.0594219907751594</v>
      </c>
      <c r="AL396" s="98">
        <f t="shared" si="232"/>
        <v>0.33651562834999466</v>
      </c>
      <c r="AM396" s="98" t="str">
        <f t="shared" si="217"/>
        <v>1+27,2591534730429i</v>
      </c>
      <c r="AN396" s="98">
        <f t="shared" si="233"/>
        <v>27.277489768431899</v>
      </c>
      <c r="AO396" s="98">
        <f t="shared" si="234"/>
        <v>1.5341278452041542</v>
      </c>
      <c r="AP396" s="168" t="str">
        <f t="shared" si="235"/>
        <v>-2,34975120722564+0,920000026707162i</v>
      </c>
      <c r="AQ396" s="98">
        <f t="shared" si="236"/>
        <v>8.0398469401028834</v>
      </c>
      <c r="AR396" s="169">
        <f t="shared" si="237"/>
        <v>158.61812551904973</v>
      </c>
      <c r="AS396" s="168" t="str">
        <f t="shared" si="238"/>
        <v>0,531076094696413+0,751879649693064i</v>
      </c>
      <c r="AT396" s="190">
        <f t="shared" si="239"/>
        <v>-0.71929567476397627</v>
      </c>
      <c r="AU396" s="169">
        <f t="shared" si="240"/>
        <v>54.765244162155604</v>
      </c>
      <c r="AV396" s="225"/>
      <c r="AX396">
        <f t="shared" si="241"/>
        <v>0</v>
      </c>
      <c r="AY396">
        <f t="shared" si="242"/>
        <v>0</v>
      </c>
    </row>
    <row r="397" spans="14:51" x14ac:dyDescent="0.25">
      <c r="N397" s="170">
        <v>79</v>
      </c>
      <c r="O397" s="199">
        <f t="shared" si="243"/>
        <v>61659.500186148245</v>
      </c>
      <c r="P397" s="189" t="str">
        <f t="shared" si="209"/>
        <v>120,833333333333</v>
      </c>
      <c r="Q397" s="160" t="str">
        <f t="shared" si="210"/>
        <v>1+345,447775175734i</v>
      </c>
      <c r="R397" s="160">
        <f t="shared" si="218"/>
        <v>345.44922256948917</v>
      </c>
      <c r="S397" s="160">
        <f t="shared" si="219"/>
        <v>1.5679015413060373</v>
      </c>
      <c r="T397" s="160" t="str">
        <f t="shared" si="211"/>
        <v>1+0,0232450839370586i</v>
      </c>
      <c r="U397" s="160">
        <f t="shared" si="220"/>
        <v>1.0002701304783828</v>
      </c>
      <c r="V397" s="160">
        <f t="shared" si="221"/>
        <v>2.3240898591367812E-2</v>
      </c>
      <c r="W397" s="98" t="str">
        <f t="shared" si="212"/>
        <v>1-0,198977918501222i</v>
      </c>
      <c r="X397" s="160">
        <f t="shared" si="222"/>
        <v>1.0196039486246995</v>
      </c>
      <c r="Y397" s="160">
        <f t="shared" si="223"/>
        <v>-0.19641259628895039</v>
      </c>
      <c r="Z397" s="98" t="str">
        <f t="shared" si="213"/>
        <v>0,996857938873384+0,0770715082652847i</v>
      </c>
      <c r="AA397" s="160">
        <f t="shared" si="224"/>
        <v>0.99983286987434916</v>
      </c>
      <c r="AB397" s="160">
        <f t="shared" si="225"/>
        <v>7.7160935523836016E-2</v>
      </c>
      <c r="AC397" s="171" t="str">
        <f t="shared" si="226"/>
        <v>-0,0873875042926165-0,345932262692176i</v>
      </c>
      <c r="AD397" s="190">
        <f t="shared" si="227"/>
        <v>-8.951521293437672</v>
      </c>
      <c r="AE397" s="169">
        <f t="shared" si="228"/>
        <v>-104.17714436687633</v>
      </c>
      <c r="AF397" s="98" t="str">
        <f t="shared" si="214"/>
        <v>-0,0000375877424711299</v>
      </c>
      <c r="AG397" s="98" t="str">
        <f t="shared" si="215"/>
        <v>0,000392454500470673i</v>
      </c>
      <c r="AH397" s="98">
        <f t="shared" si="229"/>
        <v>3.9245450047067302E-4</v>
      </c>
      <c r="AI397" s="98">
        <f t="shared" si="230"/>
        <v>1.5707963267948966</v>
      </c>
      <c r="AJ397" s="98" t="str">
        <f t="shared" si="216"/>
        <v>1+0,357969703275532i</v>
      </c>
      <c r="AK397" s="98">
        <f t="shared" si="231"/>
        <v>1.0621404372601451</v>
      </c>
      <c r="AL397" s="98">
        <f t="shared" si="232"/>
        <v>0.34375705978987114</v>
      </c>
      <c r="AM397" s="98" t="str">
        <f t="shared" si="217"/>
        <v>1+27,8941007244703i</v>
      </c>
      <c r="AN397" s="98">
        <f t="shared" si="233"/>
        <v>27.9120199058917</v>
      </c>
      <c r="AO397" s="98">
        <f t="shared" si="234"/>
        <v>1.5349617990776032</v>
      </c>
      <c r="AP397" s="168" t="str">
        <f t="shared" si="235"/>
        <v>-2,33773867410237+0,932615671061861i</v>
      </c>
      <c r="AQ397" s="98">
        <f t="shared" si="236"/>
        <v>8.0173250344620115</v>
      </c>
      <c r="AR397" s="169">
        <f t="shared" si="237"/>
        <v>158.25100409716856</v>
      </c>
      <c r="AS397" s="168" t="str">
        <f t="shared" si="238"/>
        <v>0,526910997730748+0,72720027315696i</v>
      </c>
      <c r="AT397" s="190">
        <f t="shared" si="239"/>
        <v>-0.9341962589756645</v>
      </c>
      <c r="AU397" s="169">
        <f t="shared" si="240"/>
        <v>54.07385973029222</v>
      </c>
      <c r="AV397" s="225"/>
      <c r="AX397">
        <f t="shared" si="241"/>
        <v>0</v>
      </c>
      <c r="AY397">
        <f t="shared" si="242"/>
        <v>0</v>
      </c>
    </row>
    <row r="398" spans="14:51" x14ac:dyDescent="0.25">
      <c r="N398" s="170">
        <v>80</v>
      </c>
      <c r="O398" s="199">
        <f t="shared" si="243"/>
        <v>63095.734448019342</v>
      </c>
      <c r="P398" s="189" t="str">
        <f t="shared" si="209"/>
        <v>120,833333333333</v>
      </c>
      <c r="Q398" s="160" t="str">
        <f t="shared" si="210"/>
        <v>1+353,494287536305i</v>
      </c>
      <c r="R398" s="160">
        <f t="shared" si="218"/>
        <v>353.49570198348931</v>
      </c>
      <c r="S398" s="160">
        <f t="shared" si="219"/>
        <v>1.56796743431286</v>
      </c>
      <c r="T398" s="160" t="str">
        <f t="shared" si="211"/>
        <v>1+0,02378653149777i</v>
      </c>
      <c r="U398" s="160">
        <f t="shared" si="220"/>
        <v>1.0002828595355888</v>
      </c>
      <c r="V398" s="160">
        <f t="shared" si="221"/>
        <v>2.3782046887553136E-2</v>
      </c>
      <c r="W398" s="98" t="str">
        <f t="shared" si="212"/>
        <v>1-0,203612709620911i</v>
      </c>
      <c r="X398" s="160">
        <f t="shared" si="222"/>
        <v>1.0205185620649775</v>
      </c>
      <c r="Y398" s="160">
        <f t="shared" si="223"/>
        <v>-0.20086689343220201</v>
      </c>
      <c r="Z398" s="98" t="str">
        <f t="shared" si="213"/>
        <v>0,996709858094599+0,078866734312374i</v>
      </c>
      <c r="AA398" s="160">
        <f t="shared" si="224"/>
        <v>0.99982523623083963</v>
      </c>
      <c r="AB398" s="160">
        <f t="shared" si="225"/>
        <v>7.8962550552757763E-2</v>
      </c>
      <c r="AC398" s="171" t="str">
        <f t="shared" si="226"/>
        <v>-0,0874312337445808-0,337868321483004i</v>
      </c>
      <c r="AD398" s="190">
        <f t="shared" si="227"/>
        <v>-9.1435548115638969</v>
      </c>
      <c r="AE398" s="169">
        <f t="shared" si="228"/>
        <v>-104.50835160907459</v>
      </c>
      <c r="AF398" s="98" t="str">
        <f t="shared" si="214"/>
        <v>-0,0000375877424711299</v>
      </c>
      <c r="AG398" s="98" t="str">
        <f t="shared" si="215"/>
        <v>0,000401595940120684i</v>
      </c>
      <c r="AH398" s="98">
        <f t="shared" si="229"/>
        <v>4.0159594012068403E-4</v>
      </c>
      <c r="AI398" s="98">
        <f t="shared" si="230"/>
        <v>1.5707963267948966</v>
      </c>
      <c r="AJ398" s="98" t="str">
        <f t="shared" si="216"/>
        <v>1+0,366307888810672i</v>
      </c>
      <c r="AK398" s="98">
        <f t="shared" si="231"/>
        <v>1.0649795629048153</v>
      </c>
      <c r="AL398" s="98">
        <f t="shared" si="232"/>
        <v>0.35112849869704299</v>
      </c>
      <c r="AM398" s="98" t="str">
        <f t="shared" si="217"/>
        <v>1+28,543837797324i</v>
      </c>
      <c r="AN398" s="98">
        <f t="shared" si="233"/>
        <v>28.561349341372896</v>
      </c>
      <c r="AO398" s="98">
        <f t="shared" si="234"/>
        <v>1.5357768180306099</v>
      </c>
      <c r="AP398" s="168" t="str">
        <f t="shared" si="235"/>
        <v>-2,32529094816651+0,945368340551807i</v>
      </c>
      <c r="AQ398" s="98">
        <f t="shared" si="236"/>
        <v>7.9938875297936018</v>
      </c>
      <c r="AR398" s="169">
        <f t="shared" si="237"/>
        <v>157.87534890507956</v>
      </c>
      <c r="AS398" s="168" t="str">
        <f t="shared" si="238"/>
        <v>0,522713070818716+0,70298742925913i</v>
      </c>
      <c r="AT398" s="190">
        <f t="shared" si="239"/>
        <v>-1.1496672817702955</v>
      </c>
      <c r="AU398" s="169">
        <f t="shared" si="240"/>
        <v>53.366997296004946</v>
      </c>
      <c r="AV398" s="225"/>
      <c r="AX398">
        <f t="shared" si="241"/>
        <v>0</v>
      </c>
      <c r="AY398">
        <f t="shared" si="242"/>
        <v>0</v>
      </c>
    </row>
    <row r="399" spans="14:51" x14ac:dyDescent="0.25">
      <c r="N399" s="170">
        <v>81</v>
      </c>
      <c r="O399" s="199">
        <f t="shared" si="243"/>
        <v>64565.422903465682</v>
      </c>
      <c r="P399" s="189" t="str">
        <f t="shared" si="209"/>
        <v>120,833333333333</v>
      </c>
      <c r="Q399" s="160" t="str">
        <f t="shared" si="210"/>
        <v>1+361,72822724718i</v>
      </c>
      <c r="R399" s="160">
        <f t="shared" si="218"/>
        <v>361.72960949773994</v>
      </c>
      <c r="S399" s="160">
        <f t="shared" si="219"/>
        <v>1.568031827435465</v>
      </c>
      <c r="T399" s="160" t="str">
        <f t="shared" si="211"/>
        <v>1+0,0243405909923335i</v>
      </c>
      <c r="U399" s="160">
        <f t="shared" si="220"/>
        <v>1.0002961883211672</v>
      </c>
      <c r="V399" s="160">
        <f t="shared" si="221"/>
        <v>2.4335785722753748E-2</v>
      </c>
      <c r="W399" s="98" t="str">
        <f t="shared" si="212"/>
        <v>1-0,208355458894375i</v>
      </c>
      <c r="X399" s="160">
        <f t="shared" si="222"/>
        <v>1.0214754021762273</v>
      </c>
      <c r="Y399" s="160">
        <f t="shared" si="223"/>
        <v>-0.20541659429269105</v>
      </c>
      <c r="Z399" s="98" t="str">
        <f t="shared" si="213"/>
        <v>0,996554798483716+0,0807037765459205i</v>
      </c>
      <c r="AA399" s="160">
        <f t="shared" si="224"/>
        <v>0.99981726626903855</v>
      </c>
      <c r="AB399" s="160">
        <f t="shared" si="225"/>
        <v>8.0806437872497472E-2</v>
      </c>
      <c r="AC399" s="171" t="str">
        <f t="shared" si="226"/>
        <v>-0,0874728180151214-0,329983466207421i</v>
      </c>
      <c r="AD399" s="190">
        <f t="shared" si="227"/>
        <v>-9.3352281790259255</v>
      </c>
      <c r="AE399" s="169">
        <f t="shared" si="228"/>
        <v>-104.84663978369198</v>
      </c>
      <c r="AF399" s="98" t="str">
        <f t="shared" si="214"/>
        <v>-0,0000375877424711299</v>
      </c>
      <c r="AG399" s="98" t="str">
        <f t="shared" si="215"/>
        <v>0,000410950311253898i</v>
      </c>
      <c r="AH399" s="98">
        <f t="shared" si="229"/>
        <v>4.1095031125389802E-4</v>
      </c>
      <c r="AI399" s="98">
        <f t="shared" si="230"/>
        <v>1.5707963267948966</v>
      </c>
      <c r="AJ399" s="98" t="str">
        <f t="shared" si="216"/>
        <v>1+0,374840295637119i</v>
      </c>
      <c r="AK399" s="98">
        <f t="shared" si="231"/>
        <v>1.0679444026883247</v>
      </c>
      <c r="AL399" s="98">
        <f t="shared" si="232"/>
        <v>0.35863064813565326</v>
      </c>
      <c r="AM399" s="98" t="str">
        <f t="shared" si="217"/>
        <v>1+29,2087091908002i</v>
      </c>
      <c r="AN399" s="98">
        <f t="shared" si="233"/>
        <v>29.225822359563058</v>
      </c>
      <c r="AO399" s="98">
        <f t="shared" si="234"/>
        <v>1.5365733298634887</v>
      </c>
      <c r="AP399" s="168" t="str">
        <f t="shared" si="235"/>
        <v>-2,31239786996434+0,958245320364085i</v>
      </c>
      <c r="AQ399" s="98">
        <f t="shared" si="236"/>
        <v>7.969500506449557</v>
      </c>
      <c r="AR399" s="169">
        <f t="shared" si="237"/>
        <v>157.49114417132699</v>
      </c>
      <c r="AS399" s="168" t="str">
        <f t="shared" si="238"/>
        <v>0,518477070348726+0,679232645859441i</v>
      </c>
      <c r="AT399" s="190">
        <f t="shared" si="239"/>
        <v>-1.365727672576369</v>
      </c>
      <c r="AU399" s="169">
        <f t="shared" si="240"/>
        <v>52.644504387635031</v>
      </c>
      <c r="AV399" s="225"/>
      <c r="AX399">
        <f t="shared" si="241"/>
        <v>0</v>
      </c>
      <c r="AY399">
        <f t="shared" si="242"/>
        <v>0</v>
      </c>
    </row>
    <row r="400" spans="14:51" x14ac:dyDescent="0.25">
      <c r="N400" s="170">
        <v>82</v>
      </c>
      <c r="O400" s="199">
        <f t="shared" si="243"/>
        <v>66069.344800759733</v>
      </c>
      <c r="P400" s="189" t="str">
        <f t="shared" si="209"/>
        <v>120,833333333333</v>
      </c>
      <c r="Q400" s="160" t="str">
        <f t="shared" si="210"/>
        <v>1+370,15396005218i</v>
      </c>
      <c r="R400" s="160">
        <f t="shared" si="218"/>
        <v>370.15531083899219</v>
      </c>
      <c r="S400" s="160">
        <f t="shared" si="219"/>
        <v>1.5680947548138013</v>
      </c>
      <c r="T400" s="160" t="str">
        <f t="shared" si="211"/>
        <v>1+0,0249075561904269i</v>
      </c>
      <c r="U400" s="160">
        <f t="shared" si="220"/>
        <v>1.0003101450827034</v>
      </c>
      <c r="V400" s="160">
        <f t="shared" si="221"/>
        <v>2.4902407337522449E-2</v>
      </c>
      <c r="W400" s="98" t="str">
        <f t="shared" si="212"/>
        <v>1-0,213208680990055i</v>
      </c>
      <c r="X400" s="160">
        <f t="shared" si="222"/>
        <v>1.0224763770618464</v>
      </c>
      <c r="Y400" s="160">
        <f t="shared" si="223"/>
        <v>-0.21006335740485518</v>
      </c>
      <c r="Z400" s="98" t="str">
        <f t="shared" si="213"/>
        <v>0,996392431138511+0,0825836089900325i</v>
      </c>
      <c r="AA400" s="160">
        <f t="shared" si="224"/>
        <v>0.99980894640122675</v>
      </c>
      <c r="AB400" s="160">
        <f t="shared" si="225"/>
        <v>8.2693604025619802E-2</v>
      </c>
      <c r="AC400" s="171" t="str">
        <f t="shared" si="226"/>
        <v>-0,0875123447090094-0,32227351381581i</v>
      </c>
      <c r="AD400" s="190">
        <f t="shared" si="227"/>
        <v>-9.5265258156970329</v>
      </c>
      <c r="AE400" s="169">
        <f t="shared" si="228"/>
        <v>-105.19214680031723</v>
      </c>
      <c r="AF400" s="98" t="str">
        <f t="shared" si="214"/>
        <v>-0,0000375877424711299</v>
      </c>
      <c r="AG400" s="98" t="str">
        <f t="shared" si="215"/>
        <v>0,000420522573681708i</v>
      </c>
      <c r="AH400" s="98">
        <f t="shared" si="229"/>
        <v>4.2052257368170798E-4</v>
      </c>
      <c r="AI400" s="98">
        <f t="shared" si="230"/>
        <v>1.5707963267948966</v>
      </c>
      <c r="AJ400" s="98" t="str">
        <f t="shared" si="216"/>
        <v>1+0,383571447749911i</v>
      </c>
      <c r="AK400" s="98">
        <f t="shared" si="231"/>
        <v>1.0710401745634768</v>
      </c>
      <c r="AL400" s="98">
        <f t="shared" si="232"/>
        <v>0.36626410695261707</v>
      </c>
      <c r="AM400" s="98" t="str">
        <f t="shared" si="217"/>
        <v>1+29,8890674285123i</v>
      </c>
      <c r="AN400" s="98">
        <f t="shared" si="233"/>
        <v>29.905791274369498</v>
      </c>
      <c r="AO400" s="98">
        <f t="shared" si="234"/>
        <v>1.5373517528523915</v>
      </c>
      <c r="AP400" s="168" t="str">
        <f t="shared" si="235"/>
        <v>-2,29904951825007+0,97123316419349i</v>
      </c>
      <c r="AQ400" s="98">
        <f t="shared" si="236"/>
        <v>7.9441293068222416</v>
      </c>
      <c r="AR400" s="169">
        <f t="shared" si="237"/>
        <v>157.09837954996812</v>
      </c>
      <c r="AS400" s="168" t="str">
        <f t="shared" si="238"/>
        <v>0,514197938503266+0,655927875225273i</v>
      </c>
      <c r="AT400" s="190">
        <f t="shared" si="239"/>
        <v>-1.5823965088747884</v>
      </c>
      <c r="AU400" s="169">
        <f t="shared" si="240"/>
        <v>51.906232749650876</v>
      </c>
      <c r="AV400" s="225"/>
      <c r="AX400">
        <f t="shared" si="241"/>
        <v>0</v>
      </c>
      <c r="AY400">
        <f t="shared" si="242"/>
        <v>0</v>
      </c>
    </row>
    <row r="401" spans="14:51" x14ac:dyDescent="0.25">
      <c r="N401" s="170">
        <v>83</v>
      </c>
      <c r="O401" s="199">
        <f t="shared" si="243"/>
        <v>67608.297539198305</v>
      </c>
      <c r="P401" s="189" t="str">
        <f t="shared" si="209"/>
        <v>120,833333333333</v>
      </c>
      <c r="Q401" s="160" t="str">
        <f t="shared" si="210"/>
        <v>1+378,775953386366i</v>
      </c>
      <c r="R401" s="160">
        <f t="shared" si="218"/>
        <v>378.7772734256248</v>
      </c>
      <c r="S401" s="160">
        <f t="shared" si="219"/>
        <v>1.568156249810803</v>
      </c>
      <c r="T401" s="160" t="str">
        <f t="shared" si="211"/>
        <v>1+0,025487727704503i</v>
      </c>
      <c r="U401" s="160">
        <f t="shared" si="220"/>
        <v>1.0003247593974365</v>
      </c>
      <c r="V401" s="160">
        <f t="shared" si="221"/>
        <v>2.5482210705949304E-2</v>
      </c>
      <c r="W401" s="98" t="str">
        <f t="shared" si="212"/>
        <v>1-0,218174949150546i</v>
      </c>
      <c r="X401" s="160">
        <f t="shared" si="222"/>
        <v>1.0235234772279742</v>
      </c>
      <c r="Y401" s="160">
        <f t="shared" si="223"/>
        <v>-0.21480884349117449</v>
      </c>
      <c r="Z401" s="98" t="str">
        <f t="shared" si="213"/>
        <v>0,996222411656075+0,0845072283567541i</v>
      </c>
      <c r="AA401" s="160">
        <f t="shared" si="224"/>
        <v>0.99980026261768229</v>
      </c>
      <c r="AB401" s="160">
        <f t="shared" si="225"/>
        <v>8.4625080555831581E-2</v>
      </c>
      <c r="AC401" s="171" t="str">
        <f t="shared" si="226"/>
        <v>-0,0875498970094485-0,314734373719194i</v>
      </c>
      <c r="AD401" s="190">
        <f t="shared" si="227"/>
        <v>-9.7174315338801183</v>
      </c>
      <c r="AE401" s="169">
        <f t="shared" si="228"/>
        <v>-105.54501169604221</v>
      </c>
      <c r="AF401" s="98" t="str">
        <f t="shared" si="214"/>
        <v>-0,0000375877424711299</v>
      </c>
      <c r="AG401" s="98" t="str">
        <f t="shared" si="215"/>
        <v>0,000430317802744359i</v>
      </c>
      <c r="AH401" s="98">
        <f t="shared" si="229"/>
        <v>4.3031780274435899E-4</v>
      </c>
      <c r="AI401" s="98">
        <f t="shared" si="230"/>
        <v>1.5707963267948966</v>
      </c>
      <c r="AJ401" s="98" t="str">
        <f t="shared" si="216"/>
        <v>1+0,392505974521467i</v>
      </c>
      <c r="AK401" s="98">
        <f t="shared" si="231"/>
        <v>1.0742722839369201</v>
      </c>
      <c r="AL401" s="98">
        <f t="shared" si="232"/>
        <v>0.37402936310744933</v>
      </c>
      <c r="AM401" s="98" t="str">
        <f t="shared" si="217"/>
        <v>1+30,5852732454036i</v>
      </c>
      <c r="AN401" s="98">
        <f t="shared" si="233"/>
        <v>30.60161661572802</v>
      </c>
      <c r="AO401" s="98">
        <f t="shared" si="234"/>
        <v>1.5381124959518986</v>
      </c>
      <c r="AP401" s="168" t="str">
        <f t="shared" si="235"/>
        <v>-2,28523625823901+0,984317681723228i</v>
      </c>
      <c r="AQ401" s="98">
        <f t="shared" si="236"/>
        <v>7.9177385541633551</v>
      </c>
      <c r="AR401" s="169">
        <f t="shared" si="237"/>
        <v>156.69705051435361</v>
      </c>
      <c r="AS401" s="168" t="str">
        <f t="shared" si="238"/>
        <v>0,509870808148972+0,633065490877801i</v>
      </c>
      <c r="AT401" s="190">
        <f t="shared" si="239"/>
        <v>-1.7996929797167669</v>
      </c>
      <c r="AU401" s="169">
        <f t="shared" si="240"/>
        <v>51.152038818311368</v>
      </c>
      <c r="AV401" s="225"/>
      <c r="AX401">
        <f t="shared" si="241"/>
        <v>0</v>
      </c>
      <c r="AY401">
        <f t="shared" si="242"/>
        <v>0</v>
      </c>
    </row>
    <row r="402" spans="14:51" x14ac:dyDescent="0.25">
      <c r="N402" s="170">
        <v>84</v>
      </c>
      <c r="O402" s="199">
        <f t="shared" si="243"/>
        <v>69183.097091893651</v>
      </c>
      <c r="P402" s="189" t="str">
        <f t="shared" si="209"/>
        <v>120,833333333333</v>
      </c>
      <c r="Q402" s="160" t="str">
        <f t="shared" si="210"/>
        <v>1+387,598778744728i</v>
      </c>
      <c r="R402" s="160">
        <f t="shared" si="218"/>
        <v>387.60006873632602</v>
      </c>
      <c r="S402" s="160">
        <f t="shared" si="219"/>
        <v>1.5682163450300701</v>
      </c>
      <c r="T402" s="160" t="str">
        <f t="shared" si="211"/>
        <v>1+0,0260814131491778i</v>
      </c>
      <c r="U402" s="160">
        <f t="shared" si="220"/>
        <v>1.0003400622347673</v>
      </c>
      <c r="V402" s="160">
        <f t="shared" si="221"/>
        <v>2.6075501687252402E-2</v>
      </c>
      <c r="W402" s="98" t="str">
        <f t="shared" si="212"/>
        <v>1-0,223256896556963i</v>
      </c>
      <c r="X402" s="160">
        <f t="shared" si="222"/>
        <v>1.0246187787954339</v>
      </c>
      <c r="Y402" s="160">
        <f t="shared" si="223"/>
        <v>-0.21965471334332939</v>
      </c>
      <c r="Z402" s="98" t="str">
        <f t="shared" si="213"/>
        <v>0,996044379402292+0,0864756545745356i</v>
      </c>
      <c r="AA402" s="160">
        <f t="shared" si="224"/>
        <v>0.99979120048787762</v>
      </c>
      <c r="AB402" s="160">
        <f t="shared" si="225"/>
        <v>8.6601924700354924E-2</v>
      </c>
      <c r="AC402" s="171" t="str">
        <f t="shared" si="226"/>
        <v>-0,0875855538489373-0,307362045608267i</v>
      </c>
      <c r="AD402" s="190">
        <f t="shared" si="227"/>
        <v>-9.9079285206450383</v>
      </c>
      <c r="AE402" s="169">
        <f t="shared" si="228"/>
        <v>-105.90537454605776</v>
      </c>
      <c r="AF402" s="98" t="str">
        <f t="shared" si="214"/>
        <v>-0,0000375877424711299</v>
      </c>
      <c r="AG402" s="98" t="str">
        <f t="shared" si="215"/>
        <v>0,000440341192001954i</v>
      </c>
      <c r="AH402" s="98">
        <f t="shared" si="229"/>
        <v>4.4034119200195401E-4</v>
      </c>
      <c r="AI402" s="98">
        <f t="shared" si="230"/>
        <v>1.5707963267948966</v>
      </c>
      <c r="AJ402" s="98" t="str">
        <f t="shared" si="216"/>
        <v>1+0,401648613156144i</v>
      </c>
      <c r="AK402" s="98">
        <f t="shared" si="231"/>
        <v>1.0776463280920385</v>
      </c>
      <c r="AL402" s="98">
        <f t="shared" si="232"/>
        <v>0.38192678690969656</v>
      </c>
      <c r="AM402" s="98" t="str">
        <f t="shared" si="217"/>
        <v>1+31,2976957790135i</v>
      </c>
      <c r="AN402" s="98">
        <f t="shared" si="233"/>
        <v>31.313667320767131</v>
      </c>
      <c r="AO402" s="98">
        <f t="shared" si="234"/>
        <v>1.5388559589939386</v>
      </c>
      <c r="AP402" s="168" t="str">
        <f t="shared" si="235"/>
        <v>-2,27094879247522+0,997483928847836i</v>
      </c>
      <c r="AQ402" s="98">
        <f t="shared" si="236"/>
        <v>7.8902921752079767</v>
      </c>
      <c r="AR402" s="169">
        <f t="shared" si="237"/>
        <v>156.28715875599158</v>
      </c>
      <c r="AS402" s="168" t="str">
        <f t="shared" si="238"/>
        <v>0,505491008583559+0,610638283963256i</v>
      </c>
      <c r="AT402" s="190">
        <f t="shared" si="239"/>
        <v>-2.0176363454370629</v>
      </c>
      <c r="AU402" s="169">
        <f t="shared" si="240"/>
        <v>50.38178420993389</v>
      </c>
      <c r="AV402" s="225"/>
      <c r="AX402">
        <f t="shared" si="241"/>
        <v>0</v>
      </c>
      <c r="AY402">
        <f t="shared" si="242"/>
        <v>0</v>
      </c>
    </row>
    <row r="403" spans="14:51" x14ac:dyDescent="0.25">
      <c r="N403" s="170">
        <v>85</v>
      </c>
      <c r="O403" s="199">
        <f t="shared" si="243"/>
        <v>70794.578438413781</v>
      </c>
      <c r="P403" s="189" t="str">
        <f t="shared" ref="P403:P466" si="244">COMPLEX(Adc,0)</f>
        <v>120,833333333333</v>
      </c>
      <c r="Q403" s="160" t="str">
        <f t="shared" ref="Q403:Q466" si="245">IMSUM(COMPLEX(1,0),IMDIV(COMPLEX(0,2*PI()*O403),COMPLEX(wp_lf,0)))</f>
        <v>1+396,627114106059i</v>
      </c>
      <c r="R403" s="160">
        <f t="shared" si="218"/>
        <v>396.62837473395768</v>
      </c>
      <c r="S403" s="160">
        <f t="shared" si="219"/>
        <v>1.5682750723331462</v>
      </c>
      <c r="T403" s="160" t="str">
        <f t="shared" ref="T403:T466" si="246">IMSUM(COMPLEX(1,0),IMDIV(COMPLEX(0,2*PI()*O403),COMPLEX(wz_esr,0)))</f>
        <v>1+0,0266889273043328i</v>
      </c>
      <c r="U403" s="160">
        <f t="shared" si="220"/>
        <v>1.0003560860217007</v>
      </c>
      <c r="V403" s="160">
        <f t="shared" si="221"/>
        <v>2.6682593180526858E-2</v>
      </c>
      <c r="W403" s="98" t="str">
        <f t="shared" ref="W403:W466" si="247">IMSUB(COMPLEX(1,0),IMDIV(COMPLEX(0,2*PI()*O403),COMPLEX(wz_rhp,0)))</f>
        <v>1-0,228457217725089i</v>
      </c>
      <c r="X403" s="160">
        <f t="shared" si="222"/>
        <v>1.0257644468057414</v>
      </c>
      <c r="Y403" s="160">
        <f t="shared" si="223"/>
        <v>-0.2246026255462851</v>
      </c>
      <c r="Z403" s="98" t="str">
        <f t="shared" ref="Z403:Z466" si="248">IF(Dc_Mode_Loop="CCM",IMSUM(COMPLEX(1,0),IMDIV(COMPLEX(0,2*PI()*O403),COMPLEX(Q*(wsl/2),0)),IMDIV(IMPOWER(COMPLEX(0,2*PI()*O403),2),IMPOWER(COMPLEX(wsl/2,0),2))),COMPLEX(1,0))</f>
        <v>0,995857956746882+0,0884899313290134i</v>
      </c>
      <c r="AA403" s="160">
        <f t="shared" si="224"/>
        <v>0.9997817451637574</v>
      </c>
      <c r="AB403" s="160">
        <f t="shared" si="225"/>
        <v>8.8625220106142946E-2</v>
      </c>
      <c r="AC403" s="171" t="str">
        <f t="shared" si="226"/>
        <v>-0,0876193900705796-0,300152617318946i</v>
      </c>
      <c r="AD403" s="190">
        <f t="shared" si="227"/>
        <v>-10.097999320231255</v>
      </c>
      <c r="AE403" s="169">
        <f t="shared" si="228"/>
        <v>-106.27337636641376</v>
      </c>
      <c r="AF403" s="98" t="str">
        <f t="shared" ref="AF403:AF466" si="249">COMPLEX(Adc_ea,0)</f>
        <v>-0,0000375877424711299</v>
      </c>
      <c r="AG403" s="98" t="str">
        <f t="shared" ref="AG403:AG466" si="250">COMPLEX(0,2*PI()*O403*wp0_ea)</f>
        <v>0,000450598055988153i</v>
      </c>
      <c r="AH403" s="98">
        <f t="shared" si="229"/>
        <v>4.50598055988153E-4</v>
      </c>
      <c r="AI403" s="98">
        <f t="shared" si="230"/>
        <v>1.5707963267948966</v>
      </c>
      <c r="AJ403" s="98" t="str">
        <f t="shared" ref="AJ403:AJ466" si="251">IMSUM(COMPLEX(1,0),IMDIV(COMPLEX(0,2*PI()*O403),COMPLEX(wp1_ea,0)))</f>
        <v>1+0,411004211201966i</v>
      </c>
      <c r="AK403" s="98">
        <f t="shared" si="231"/>
        <v>1.0811681005402214</v>
      </c>
      <c r="AL403" s="98">
        <f t="shared" si="232"/>
        <v>0.38995662418920257</v>
      </c>
      <c r="AM403" s="98" t="str">
        <f t="shared" ref="AM403:AM466" si="252">IMSUM(COMPLEX(1,0),IMDIV(COMPLEX(0,2*PI()*O403),COMPLEX(wz_ea,0)))</f>
        <v>1+32,0267127651994i</v>
      </c>
      <c r="AN403" s="98">
        <f t="shared" si="233"/>
        <v>32.04232092942997</v>
      </c>
      <c r="AO403" s="98">
        <f t="shared" si="234"/>
        <v>1.5395825328830597</v>
      </c>
      <c r="AP403" s="168" t="str">
        <f t="shared" si="235"/>
        <v>-2,25617821421711+1,01071620096188i</v>
      </c>
      <c r="AQ403" s="98">
        <f t="shared" si="236"/>
        <v>7.8617534267975442</v>
      </c>
      <c r="AR403" s="169">
        <f t="shared" si="237"/>
        <v>155.86871258705003</v>
      </c>
      <c r="AS403" s="168" t="str">
        <f t="shared" si="238"/>
        <v>0,501054072105603+0,588639459072518i</v>
      </c>
      <c r="AT403" s="190">
        <f t="shared" si="239"/>
        <v>-2.2362458934337064</v>
      </c>
      <c r="AU403" s="169">
        <f t="shared" si="240"/>
        <v>49.595336220636256</v>
      </c>
      <c r="AV403" s="225"/>
      <c r="AX403">
        <f t="shared" si="241"/>
        <v>0</v>
      </c>
      <c r="AY403">
        <f t="shared" si="242"/>
        <v>0</v>
      </c>
    </row>
    <row r="404" spans="14:51" x14ac:dyDescent="0.25">
      <c r="N404" s="170">
        <v>86</v>
      </c>
      <c r="O404" s="199">
        <f t="shared" si="243"/>
        <v>72443.596007499116</v>
      </c>
      <c r="P404" s="189" t="str">
        <f t="shared" si="244"/>
        <v>120,833333333333</v>
      </c>
      <c r="Q404" s="160" t="str">
        <f t="shared" si="245"/>
        <v>1+405,86574641327i</v>
      </c>
      <c r="R404" s="160">
        <f t="shared" ref="R404:R467" si="253">IMABS(Q404)</f>
        <v>405.86697834586244</v>
      </c>
      <c r="S404" s="160">
        <f t="shared" ref="S404:S467" si="254">IMARGUMENT(Q404)</f>
        <v>1.5683324628564033</v>
      </c>
      <c r="T404" s="160" t="str">
        <f t="shared" si="246"/>
        <v>1+0,0273105922820143i</v>
      </c>
      <c r="U404" s="160">
        <f t="shared" ref="U404:U467" si="255">IMABS(T404)</f>
        <v>1.0003728647113508</v>
      </c>
      <c r="V404" s="160">
        <f t="shared" ref="V404:V467" si="256">IMARGUMENT(T404)</f>
        <v>2.7303805282695468E-2</v>
      </c>
      <c r="W404" s="98" t="str">
        <f t="shared" si="247"/>
        <v>1-0,233778669934042i</v>
      </c>
      <c r="X404" s="160">
        <f t="shared" ref="X404:X467" si="257">IMABS(W404)</f>
        <v>1.0269627386210902</v>
      </c>
      <c r="Y404" s="160">
        <f t="shared" ref="Y404:Y467" si="258">IMARGUMENT(W404)</f>
        <v>-0.22965423403880217</v>
      </c>
      <c r="Z404" s="98" t="str">
        <f t="shared" si="248"/>
        <v>0,995662748262399+0,0905511266163847i</v>
      </c>
      <c r="AA404" s="160">
        <f t="shared" ref="AA404:AA467" si="259">IMABS(Z404)</f>
        <v>0.99977188138541373</v>
      </c>
      <c r="AB404" s="160">
        <f t="shared" ref="AB404:AB467" si="260">IMARGUMENT(Z404)</f>
        <v>9.0696077571023936E-2</v>
      </c>
      <c r="AC404" s="171" t="str">
        <f t="shared" ref="AC404:AC467" si="261">(IMDIV(IMPRODUCT(P404,T404,W404),IMPRODUCT(Q404,Z404)))</f>
        <v>-0,0876514765801391-0,293102262743346i</v>
      </c>
      <c r="AD404" s="190">
        <f t="shared" ref="AD404:AD467" si="262">20*LOG(IMABS(AC404))</f>
        <v>-10.28762581658132</v>
      </c>
      <c r="AE404" s="169">
        <f t="shared" ref="AE404:AE467" si="263">(180/PI())*IMARGUMENT(AC404)</f>
        <v>-106.64915900862822</v>
      </c>
      <c r="AF404" s="98" t="str">
        <f t="shared" si="249"/>
        <v>-0,0000375877424711299</v>
      </c>
      <c r="AG404" s="98" t="str">
        <f t="shared" si="250"/>
        <v>0,000461093833028009i</v>
      </c>
      <c r="AH404" s="98">
        <f t="shared" ref="AH404:AH467" si="264">IMABS(AG404)</f>
        <v>4.6109383302800903E-4</v>
      </c>
      <c r="AI404" s="98">
        <f t="shared" ref="AI404:AI467" si="265">IMARGUMENT(AG404)</f>
        <v>1.5707963267948966</v>
      </c>
      <c r="AJ404" s="98" t="str">
        <f t="shared" si="251"/>
        <v>1+0,420577729120851i</v>
      </c>
      <c r="AK404" s="98">
        <f t="shared" ref="AK404:AK467" si="266">IMABS(AJ404)</f>
        <v>1.0848435952857223</v>
      </c>
      <c r="AL404" s="98">
        <f t="shared" ref="AL404:AL467" si="267">IMARGUMENT(AJ404)</f>
        <v>0.39811898942729246</v>
      </c>
      <c r="AM404" s="98" t="str">
        <f t="shared" si="252"/>
        <v>1+32,7727107384172i</v>
      </c>
      <c r="AN404" s="98">
        <f t="shared" ref="AN404:AN467" si="268">IMABS(AM404)</f>
        <v>32.787963784656803</v>
      </c>
      <c r="AO404" s="98">
        <f t="shared" ref="AO404:AO467" si="269">IMARGUMENT(AM404)</f>
        <v>1.5402925997880776</v>
      </c>
      <c r="AP404" s="168" t="str">
        <f t="shared" ref="AP404:AP467" si="270">IMPRODUCT(AF404,IMDIV(AM404,IMPRODUCT(AG404,AJ404)))</f>
        <v>-2,24091606321019+1,02399802964497i</v>
      </c>
      <c r="AQ404" s="98">
        <f t="shared" ref="AQ404:AQ467" si="271">20*LOG(IMABS(AP404))</f>
        <v>7.8320849266853312</v>
      </c>
      <c r="AR404" s="169">
        <f t="shared" ref="AR404:AR467" si="272">(180/PI())*IMARGUMENT(AP404)</f>
        <v>155.44172734489268</v>
      </c>
      <c r="AS404" s="168" t="str">
        <f t="shared" ref="AS404:AS467" si="273">IMPRODUCT(AC404,AP404)</f>
        <v>0,496555741366194+0,567062629431283i</v>
      </c>
      <c r="AT404" s="190">
        <f t="shared" ref="AT404:AT467" si="274">20*LOG(IMABS(AS404))</f>
        <v>-2.4555408898959876</v>
      </c>
      <c r="AU404" s="169">
        <f t="shared" ref="AU404:AU467" si="275">(180/PI())*IMARGUMENT(AS404)</f>
        <v>48.792568336264488</v>
      </c>
      <c r="AV404" s="225"/>
      <c r="AX404">
        <f t="shared" ref="AX404:AX467" si="276">SUM((AT405&lt;0)*(AT404&gt;0))*O404</f>
        <v>0</v>
      </c>
      <c r="AY404">
        <f t="shared" ref="AY404:AY467" si="277">IF(AX404&gt;0,AU404,0)</f>
        <v>0</v>
      </c>
    </row>
    <row r="405" spans="14:51" x14ac:dyDescent="0.25">
      <c r="N405" s="170">
        <v>87</v>
      </c>
      <c r="O405" s="199">
        <f t="shared" si="243"/>
        <v>74131.024130091857</v>
      </c>
      <c r="P405" s="189" t="str">
        <f t="shared" si="244"/>
        <v>120,833333333333</v>
      </c>
      <c r="Q405" s="160" t="str">
        <f t="shared" si="245"/>
        <v>1+415,319574111497i</v>
      </c>
      <c r="R405" s="160">
        <f t="shared" si="253"/>
        <v>415.32077800196231</v>
      </c>
      <c r="S405" s="160">
        <f t="shared" si="254"/>
        <v>1.5683885470275434</v>
      </c>
      <c r="T405" s="160" t="str">
        <f t="shared" si="246"/>
        <v>1+0,0279467376972221i</v>
      </c>
      <c r="U405" s="160">
        <f t="shared" si="255"/>
        <v>1.0003904338546612</v>
      </c>
      <c r="V405" s="160">
        <f t="shared" si="256"/>
        <v>2.7939465449711102E-2</v>
      </c>
      <c r="W405" s="98" t="str">
        <f t="shared" si="247"/>
        <v>1-0,239224074688221i</v>
      </c>
      <c r="X405" s="160">
        <f t="shared" si="257"/>
        <v>1.0282160074179139</v>
      </c>
      <c r="Y405" s="160">
        <f t="shared" si="258"/>
        <v>-0.23481118550397631</v>
      </c>
      <c r="Z405" s="98" t="str">
        <f t="shared" si="248"/>
        <v>0,995458339885474+0,0926603333096739i</v>
      </c>
      <c r="AA405" s="160">
        <f t="shared" si="259"/>
        <v>0.99976159348946991</v>
      </c>
      <c r="AB405" s="160">
        <f t="shared" si="260"/>
        <v>9.2815635810927194E-2</v>
      </c>
      <c r="AC405" s="171" t="str">
        <f t="shared" si="261"/>
        <v>-0,0876818804891016-0,28620723978496i</v>
      </c>
      <c r="AD405" s="190">
        <f t="shared" si="262"/>
        <v>-10.476789216081233</v>
      </c>
      <c r="AE405" s="169">
        <f t="shared" si="263"/>
        <v>-107.03286504584433</v>
      </c>
      <c r="AF405" s="98" t="str">
        <f t="shared" si="249"/>
        <v>-0,0000375877424711299</v>
      </c>
      <c r="AG405" s="98" t="str">
        <f t="shared" si="250"/>
        <v>0,000471834088121433i</v>
      </c>
      <c r="AH405" s="98">
        <f t="shared" si="264"/>
        <v>4.7183408812143303E-4</v>
      </c>
      <c r="AI405" s="98">
        <f t="shared" si="265"/>
        <v>1.5707963267948966</v>
      </c>
      <c r="AJ405" s="98" t="str">
        <f t="shared" si="251"/>
        <v>1+0,430374242918721i</v>
      </c>
      <c r="AK405" s="98">
        <f t="shared" si="266"/>
        <v>1.0886790109889426</v>
      </c>
      <c r="AL405" s="98">
        <f t="shared" si="267"/>
        <v>0.40641385887989645</v>
      </c>
      <c r="AM405" s="98" t="str">
        <f t="shared" si="252"/>
        <v>1+33,5360852366665i</v>
      </c>
      <c r="AN405" s="98">
        <f t="shared" si="268"/>
        <v>33.550991237234122</v>
      </c>
      <c r="AO405" s="98">
        <f t="shared" si="269"/>
        <v>1.5409865333301287</v>
      </c>
      <c r="AP405" s="168" t="str">
        <f t="shared" si="270"/>
        <v>-2,22515438367976+1,03731218307841i</v>
      </c>
      <c r="AQ405" s="98">
        <f t="shared" si="271"/>
        <v>7.8012486886978296</v>
      </c>
      <c r="AR405" s="169">
        <f t="shared" si="272"/>
        <v>155.00622579686853</v>
      </c>
      <c r="AS405" s="168" t="str">
        <f t="shared" si="273"/>
        <v>0,491991977453792+0,545901811381818i</v>
      </c>
      <c r="AT405" s="190">
        <f t="shared" si="274"/>
        <v>-2.6755405273834021</v>
      </c>
      <c r="AU405" s="169">
        <f t="shared" si="275"/>
        <v>47.973360751024217</v>
      </c>
      <c r="AV405" s="225"/>
      <c r="AX405">
        <f t="shared" si="276"/>
        <v>0</v>
      </c>
      <c r="AY405">
        <f t="shared" si="277"/>
        <v>0</v>
      </c>
    </row>
    <row r="406" spans="14:51" x14ac:dyDescent="0.25">
      <c r="N406" s="170">
        <v>88</v>
      </c>
      <c r="O406" s="199">
        <f t="shared" si="243"/>
        <v>75857.757502918481</v>
      </c>
      <c r="P406" s="189" t="str">
        <f t="shared" si="244"/>
        <v>120,833333333333</v>
      </c>
      <c r="Q406" s="160" t="str">
        <f t="shared" si="245"/>
        <v>1+424,993609745321i</v>
      </c>
      <c r="R406" s="160">
        <f t="shared" si="253"/>
        <v>424.99478623197041</v>
      </c>
      <c r="S406" s="160">
        <f t="shared" si="254"/>
        <v>1.5684433545817242</v>
      </c>
      <c r="T406" s="160" t="str">
        <f t="shared" si="246"/>
        <v>1+0,0285977008426757i</v>
      </c>
      <c r="U406" s="160">
        <f t="shared" si="255"/>
        <v>1.000408830675483</v>
      </c>
      <c r="V406" s="160">
        <f t="shared" si="256"/>
        <v>2.8589908661053581E-2</v>
      </c>
      <c r="W406" s="98" t="str">
        <f t="shared" si="247"/>
        <v>1-0,244796319213304i</v>
      </c>
      <c r="X406" s="160">
        <f t="shared" si="257"/>
        <v>1.02952670577328</v>
      </c>
      <c r="Y406" s="160">
        <f t="shared" si="258"/>
        <v>-0.2400751165835584</v>
      </c>
      <c r="Z406" s="98" t="str">
        <f t="shared" si="248"/>
        <v>0,995244298038536+0,094818669738188i</v>
      </c>
      <c r="AA406" s="160">
        <f t="shared" si="259"/>
        <v>0.99975086542054947</v>
      </c>
      <c r="AB406" s="160">
        <f t="shared" si="260"/>
        <v>9.4985062254400995E-2</v>
      </c>
      <c r="AC406" s="171" t="str">
        <f t="shared" si="261"/>
        <v>-0,0877106652489826-0,279463888356899i</v>
      </c>
      <c r="AD406" s="190">
        <f t="shared" si="262"/>
        <v>-10.665470030589269</v>
      </c>
      <c r="AE406" s="169">
        <f t="shared" si="263"/>
        <v>-107.42463765024442</v>
      </c>
      <c r="AF406" s="98" t="str">
        <f t="shared" si="249"/>
        <v>-0,0000375877424711299</v>
      </c>
      <c r="AG406" s="98" t="str">
        <f t="shared" si="250"/>
        <v>0,000482824515893843i</v>
      </c>
      <c r="AH406" s="98">
        <f t="shared" si="264"/>
        <v>4.8282451589384302E-4</v>
      </c>
      <c r="AI406" s="98">
        <f t="shared" si="265"/>
        <v>1.5707963267948966</v>
      </c>
      <c r="AJ406" s="98" t="str">
        <f t="shared" si="251"/>
        <v>1+0,440398946836861i</v>
      </c>
      <c r="AK406" s="98">
        <f t="shared" si="266"/>
        <v>1.0926807550126507</v>
      </c>
      <c r="AL406" s="98">
        <f t="shared" si="267"/>
        <v>0.41484106372652585</v>
      </c>
      <c r="AM406" s="98" t="str">
        <f t="shared" si="252"/>
        <v>1+34,3172410112109i</v>
      </c>
      <c r="AN406" s="98">
        <f t="shared" si="268"/>
        <v>34.331807855420827</v>
      </c>
      <c r="AO406" s="98">
        <f t="shared" si="269"/>
        <v>1.5416646987671578</v>
      </c>
      <c r="AP406" s="168" t="str">
        <f t="shared" si="270"/>
        <v>-2,20888578433756+1,05064067052898i</v>
      </c>
      <c r="AQ406" s="98">
        <f t="shared" si="271"/>
        <v>7.7692061624110043</v>
      </c>
      <c r="AR406" s="169">
        <f t="shared" si="272"/>
        <v>154.56223854341795</v>
      </c>
      <c r="AS406" s="168" t="str">
        <f t="shared" si="273"/>
        <v>0,487358968655196+0,525151418077519i</v>
      </c>
      <c r="AT406" s="190">
        <f t="shared" si="274"/>
        <v>-2.8962638681782726</v>
      </c>
      <c r="AU406" s="169">
        <f t="shared" si="275"/>
        <v>47.137600893173548</v>
      </c>
      <c r="AV406" s="225"/>
      <c r="AX406">
        <f t="shared" si="276"/>
        <v>0</v>
      </c>
      <c r="AY406">
        <f t="shared" si="277"/>
        <v>0</v>
      </c>
    </row>
    <row r="407" spans="14:51" x14ac:dyDescent="0.25">
      <c r="N407" s="170">
        <v>89</v>
      </c>
      <c r="O407" s="199">
        <f t="shared" si="243"/>
        <v>77624.711662869129</v>
      </c>
      <c r="P407" s="189" t="str">
        <f t="shared" si="244"/>
        <v>120,833333333333</v>
      </c>
      <c r="Q407" s="160" t="str">
        <f t="shared" si="245"/>
        <v>1+434,892982616488i</v>
      </c>
      <c r="R407" s="160">
        <f t="shared" si="253"/>
        <v>434.89413232310329</v>
      </c>
      <c r="S407" s="160">
        <f t="shared" si="254"/>
        <v>1.5684969145773189</v>
      </c>
      <c r="T407" s="160" t="str">
        <f t="shared" si="246"/>
        <v>1+0,0292638268676514i</v>
      </c>
      <c r="U407" s="160">
        <f t="shared" si="255"/>
        <v>1.0004280941491697</v>
      </c>
      <c r="V407" s="160">
        <f t="shared" si="256"/>
        <v>2.9255477587565915E-2</v>
      </c>
      <c r="W407" s="98" t="str">
        <f t="shared" si="247"/>
        <v>1-0,250498357987096i</v>
      </c>
      <c r="X407" s="160">
        <f t="shared" si="257"/>
        <v>1.0308973893430089</v>
      </c>
      <c r="Y407" s="160">
        <f t="shared" si="258"/>
        <v>-0.24544765091002299</v>
      </c>
      <c r="Z407" s="98" t="str">
        <f t="shared" si="248"/>
        <v>0,995020168710129+0,0970272802804709i</v>
      </c>
      <c r="AA407" s="160">
        <f t="shared" si="259"/>
        <v>0.99973968074622233</v>
      </c>
      <c r="AB407" s="160">
        <f t="shared" si="260"/>
        <v>9.7205553865708574E-2</v>
      </c>
      <c r="AC407" s="171" t="str">
        <f t="shared" si="261"/>
        <v>-0,0877378907771071-0,272868628422093i</v>
      </c>
      <c r="AD407" s="190">
        <f t="shared" si="262"/>
        <v>-10.853648060841564</v>
      </c>
      <c r="AE407" s="169">
        <f t="shared" si="263"/>
        <v>-107.82462046144629</v>
      </c>
      <c r="AF407" s="98" t="str">
        <f t="shared" si="249"/>
        <v>-0,0000375877424711299</v>
      </c>
      <c r="AG407" s="98" t="str">
        <f t="shared" si="250"/>
        <v>0,000494070943615516i</v>
      </c>
      <c r="AH407" s="98">
        <f t="shared" si="264"/>
        <v>4.9407094361551601E-4</v>
      </c>
      <c r="AI407" s="98">
        <f t="shared" si="265"/>
        <v>1.5707963267948966</v>
      </c>
      <c r="AJ407" s="98" t="str">
        <f t="shared" si="251"/>
        <v>1+0,450657156105984i</v>
      </c>
      <c r="AK407" s="98">
        <f t="shared" si="266"/>
        <v>1.0968554473354879</v>
      </c>
      <c r="AL407" s="98">
        <f t="shared" si="267"/>
        <v>0.4234002832819837</v>
      </c>
      <c r="AM407" s="98" t="str">
        <f t="shared" si="252"/>
        <v>1+35,1165922411817i</v>
      </c>
      <c r="AN407" s="98">
        <f t="shared" si="268"/>
        <v>35.13082763945966</v>
      </c>
      <c r="AO407" s="98">
        <f t="shared" si="269"/>
        <v>1.5423274531748767</v>
      </c>
      <c r="AP407" s="168" t="str">
        <f t="shared" si="270"/>
        <v>-2,19210350015503+1,06396475123253i</v>
      </c>
      <c r="AQ407" s="98">
        <f t="shared" si="271"/>
        <v>7.7359182774831545</v>
      </c>
      <c r="AR407" s="169">
        <f t="shared" si="272"/>
        <v>154.10980441738033</v>
      </c>
      <c r="AS407" s="168" t="str">
        <f t="shared" si="273"/>
        <v>0,48265313982699+0,504806252312241i</v>
      </c>
      <c r="AT407" s="190">
        <f t="shared" si="274"/>
        <v>-3.1177297833584099</v>
      </c>
      <c r="AU407" s="169">
        <f t="shared" si="275"/>
        <v>46.285183955934073</v>
      </c>
      <c r="AV407" s="225"/>
      <c r="AX407">
        <f t="shared" si="276"/>
        <v>0</v>
      </c>
      <c r="AY407">
        <f t="shared" si="277"/>
        <v>0</v>
      </c>
    </row>
    <row r="408" spans="14:51" x14ac:dyDescent="0.25">
      <c r="N408" s="170">
        <v>90</v>
      </c>
      <c r="O408" s="199">
        <f t="shared" si="243"/>
        <v>79432.823472428237</v>
      </c>
      <c r="P408" s="189" t="str">
        <f t="shared" si="244"/>
        <v>120,833333333333</v>
      </c>
      <c r="Q408" s="160" t="str">
        <f t="shared" si="245"/>
        <v>1+445,022941503529i</v>
      </c>
      <c r="R408" s="160">
        <f t="shared" si="253"/>
        <v>445.0240650396936</v>
      </c>
      <c r="S408" s="160">
        <f t="shared" si="254"/>
        <v>1.5685492554113158</v>
      </c>
      <c r="T408" s="160" t="str">
        <f t="shared" si="246"/>
        <v>1+0,029945468960985i</v>
      </c>
      <c r="U408" s="160">
        <f t="shared" si="255"/>
        <v>1.0004482650848534</v>
      </c>
      <c r="V408" s="160">
        <f t="shared" si="256"/>
        <v>2.9936522762672682E-2</v>
      </c>
      <c r="W408" s="98" t="str">
        <f t="shared" si="247"/>
        <v>1-0,256333214306032i</v>
      </c>
      <c r="X408" s="160">
        <f t="shared" si="257"/>
        <v>1.0323307206300034</v>
      </c>
      <c r="Y408" s="160">
        <f t="shared" si="258"/>
        <v>-0.25093039595062389</v>
      </c>
      <c r="Z408" s="98" t="str">
        <f t="shared" si="248"/>
        <v>0,994785476491899+0,0992873359710667i</v>
      </c>
      <c r="AA408" s="160">
        <f t="shared" si="259"/>
        <v>0.99972802267589056</v>
      </c>
      <c r="AB408" s="160">
        <f t="shared" si="260"/>
        <v>9.9478337997851829E-2</v>
      </c>
      <c r="AC408" s="171" t="str">
        <f t="shared" si="261"/>
        <v>-0,0877636135740462-0,266417958074311i</v>
      </c>
      <c r="AD408" s="190">
        <f t="shared" si="262"/>
        <v>-11.041302380332228</v>
      </c>
      <c r="AE408" s="169">
        <f t="shared" si="263"/>
        <v>-108.2329574456279</v>
      </c>
      <c r="AF408" s="98" t="str">
        <f t="shared" si="249"/>
        <v>-0,0000375877424711299</v>
      </c>
      <c r="AG408" s="98" t="str">
        <f t="shared" si="250"/>
        <v>0,000505579334291298i</v>
      </c>
      <c r="AH408" s="98">
        <f t="shared" si="264"/>
        <v>5.0557933429129802E-4</v>
      </c>
      <c r="AI408" s="98">
        <f t="shared" si="265"/>
        <v>1.5707963267948966</v>
      </c>
      <c r="AJ408" s="98" t="str">
        <f t="shared" si="251"/>
        <v>1+0,461154309764428i</v>
      </c>
      <c r="AK408" s="98">
        <f t="shared" si="266"/>
        <v>1.1012099243170241</v>
      </c>
      <c r="AL408" s="98">
        <f t="shared" si="267"/>
        <v>0.43209103831051493</v>
      </c>
      <c r="AM408" s="98" t="str">
        <f t="shared" si="252"/>
        <v>1+35,934562753182i</v>
      </c>
      <c r="AN408" s="98">
        <f t="shared" si="268"/>
        <v>35.948474241090885</v>
      </c>
      <c r="AO408" s="98">
        <f t="shared" si="269"/>
        <v>1.5429751456242284</v>
      </c>
      <c r="AP408" s="168" t="str">
        <f t="shared" si="270"/>
        <v>-2,17480145561332+1,07726494800178i</v>
      </c>
      <c r="AQ408" s="98">
        <f t="shared" si="271"/>
        <v>7.701345492766305</v>
      </c>
      <c r="AR408" s="169">
        <f t="shared" si="272"/>
        <v>153.64897087723378</v>
      </c>
      <c r="AS408" s="168" t="str">
        <f t="shared" si="273"/>
        <v>0,477871162302384+0,484861498408247i</v>
      </c>
      <c r="AT408" s="190">
        <f t="shared" si="274"/>
        <v>-3.339956887565918</v>
      </c>
      <c r="AU408" s="169">
        <f t="shared" si="275"/>
        <v>45.416013431605862</v>
      </c>
      <c r="AV408" s="225"/>
      <c r="AX408">
        <f t="shared" si="276"/>
        <v>0</v>
      </c>
      <c r="AY408">
        <f t="shared" si="277"/>
        <v>0</v>
      </c>
    </row>
    <row r="409" spans="14:51" x14ac:dyDescent="0.25">
      <c r="N409" s="170">
        <v>91</v>
      </c>
      <c r="O409" s="199">
        <f t="shared" si="243"/>
        <v>81283.051616410012</v>
      </c>
      <c r="P409" s="189" t="str">
        <f t="shared" si="244"/>
        <v>120,833333333333</v>
      </c>
      <c r="Q409" s="160" t="str">
        <f t="shared" si="245"/>
        <v>1+455,388857444729i</v>
      </c>
      <c r="R409" s="160">
        <f t="shared" si="253"/>
        <v>455.38995540615053</v>
      </c>
      <c r="S409" s="160">
        <f t="shared" si="254"/>
        <v>1.5686004048343707</v>
      </c>
      <c r="T409" s="160" t="str">
        <f t="shared" si="246"/>
        <v>1+0,0306429885383368i</v>
      </c>
      <c r="U409" s="160">
        <f t="shared" si="255"/>
        <v>1.0004693862115726</v>
      </c>
      <c r="V409" s="160">
        <f t="shared" si="256"/>
        <v>3.0633402757021519E-2</v>
      </c>
      <c r="W409" s="98" t="str">
        <f t="shared" si="247"/>
        <v>1-0,262303981888163i</v>
      </c>
      <c r="X409" s="160">
        <f t="shared" si="257"/>
        <v>1.0338294728408481</v>
      </c>
      <c r="Y409" s="160">
        <f t="shared" si="258"/>
        <v>-0.25652493965803308</v>
      </c>
      <c r="Z409" s="98" t="str">
        <f t="shared" si="248"/>
        <v>0,994539723570185+0,101600035121417i</v>
      </c>
      <c r="AA409" s="160">
        <f t="shared" si="259"/>
        <v>0.99971587408409857</v>
      </c>
      <c r="AB409" s="160">
        <f t="shared" si="260"/>
        <v>0.10180467327695966</v>
      </c>
      <c r="AC409" s="171" t="str">
        <f t="shared" si="261"/>
        <v>-0,0877878868328749-0,260108451658885i</v>
      </c>
      <c r="AD409" s="190">
        <f t="shared" si="262"/>
        <v>-11.228411319773581</v>
      </c>
      <c r="AE409" s="169">
        <f t="shared" si="263"/>
        <v>-108.64979274515149</v>
      </c>
      <c r="AF409" s="98" t="str">
        <f t="shared" si="249"/>
        <v>-0,0000375877424711299</v>
      </c>
      <c r="AG409" s="98" t="str">
        <f t="shared" si="250"/>
        <v>0,000517355789822254i</v>
      </c>
      <c r="AH409" s="98">
        <f t="shared" si="264"/>
        <v>5.1735578982225398E-4</v>
      </c>
      <c r="AI409" s="98">
        <f t="shared" si="265"/>
        <v>1.5707963267948966</v>
      </c>
      <c r="AJ409" s="98" t="str">
        <f t="shared" si="251"/>
        <v>1+0,471895973542007i</v>
      </c>
      <c r="AK409" s="98">
        <f t="shared" si="266"/>
        <v>1.1057512422987181</v>
      </c>
      <c r="AL409" s="98">
        <f t="shared" si="267"/>
        <v>0.44091268448493603</v>
      </c>
      <c r="AM409" s="98" t="str">
        <f t="shared" si="252"/>
        <v>1+36,7715862460042i</v>
      </c>
      <c r="AN409" s="98">
        <f t="shared" si="268"/>
        <v>36.785181188181269</v>
      </c>
      <c r="AO409" s="98">
        <f t="shared" si="269"/>
        <v>1.5436081173553944</v>
      </c>
      <c r="AP409" s="168" t="str">
        <f t="shared" si="270"/>
        <v>-2,15697432909561+1,0905210658702i</v>
      </c>
      <c r="AQ409" s="98">
        <f t="shared" si="271"/>
        <v>7.6654478502938144</v>
      </c>
      <c r="AR409" s="169">
        <f t="shared" si="272"/>
        <v>153.17979439182864</v>
      </c>
      <c r="AS409" s="168" t="str">
        <f t="shared" si="273"/>
        <v>0,473009964248956+0,465312713089542i</v>
      </c>
      <c r="AT409" s="190">
        <f t="shared" si="274"/>
        <v>-3.5629634694797701</v>
      </c>
      <c r="AU409" s="169">
        <f t="shared" si="275"/>
        <v>44.53000164667715</v>
      </c>
      <c r="AV409" s="225"/>
      <c r="AX409">
        <f t="shared" si="276"/>
        <v>0</v>
      </c>
      <c r="AY409">
        <f t="shared" si="277"/>
        <v>0</v>
      </c>
    </row>
    <row r="410" spans="14:51" x14ac:dyDescent="0.25">
      <c r="N410" s="170">
        <v>92</v>
      </c>
      <c r="O410" s="199">
        <f t="shared" si="243"/>
        <v>83176.377110267174</v>
      </c>
      <c r="P410" s="189" t="str">
        <f t="shared" si="244"/>
        <v>120,833333333333</v>
      </c>
      <c r="Q410" s="160" t="str">
        <f t="shared" si="245"/>
        <v>1+465,996226585931i</v>
      </c>
      <c r="R410" s="160">
        <f t="shared" si="253"/>
        <v>465.99729955475749</v>
      </c>
      <c r="S410" s="160">
        <f t="shared" si="254"/>
        <v>1.5686503899655129</v>
      </c>
      <c r="T410" s="160" t="str">
        <f t="shared" si="246"/>
        <v>1+0,0313567554338195i</v>
      </c>
      <c r="U410" s="160">
        <f t="shared" si="255"/>
        <v>1.0004915022684282</v>
      </c>
      <c r="V410" s="160">
        <f t="shared" si="256"/>
        <v>3.134648435658885E-2</v>
      </c>
      <c r="W410" s="98" t="str">
        <f t="shared" si="247"/>
        <v>1-0,268413826513495i</v>
      </c>
      <c r="X410" s="160">
        <f t="shared" si="257"/>
        <v>1.03539653382828</v>
      </c>
      <c r="Y410" s="160">
        <f t="shared" si="258"/>
        <v>-0.26223284692261406</v>
      </c>
      <c r="Z410" s="98" t="str">
        <f t="shared" si="248"/>
        <v>0,994282388670091+0,103966603955225i</v>
      </c>
      <c r="AA410" s="160">
        <f t="shared" si="259"/>
        <v>0.99970321753882763</v>
      </c>
      <c r="AB410" s="160">
        <f t="shared" si="260"/>
        <v>0.10418585051955739</v>
      </c>
      <c r="AC410" s="171" t="str">
        <f t="shared" si="261"/>
        <v>-0,0878107605404061-0,253936757932107i</v>
      </c>
      <c r="AD410" s="190">
        <f t="shared" si="262"/>
        <v>-11.414952452248382</v>
      </c>
      <c r="AE410" s="169">
        <f t="shared" si="263"/>
        <v>-109.07527051848662</v>
      </c>
      <c r="AF410" s="98" t="str">
        <f t="shared" si="249"/>
        <v>-0,0000375877424711299</v>
      </c>
      <c r="AG410" s="98" t="str">
        <f t="shared" si="250"/>
        <v>0,000529406554240987i</v>
      </c>
      <c r="AH410" s="98">
        <f t="shared" si="264"/>
        <v>5.2940655424098704E-4</v>
      </c>
      <c r="AI410" s="98">
        <f t="shared" si="265"/>
        <v>1.5707963267948966</v>
      </c>
      <c r="AJ410" s="98" t="str">
        <f t="shared" si="251"/>
        <v>1+0,48288784281104i</v>
      </c>
      <c r="AK410" s="98">
        <f t="shared" si="266"/>
        <v>1.1104866810253511</v>
      </c>
      <c r="AL410" s="98">
        <f t="shared" si="267"/>
        <v>0.44986440603590433</v>
      </c>
      <c r="AM410" s="98" t="str">
        <f t="shared" si="252"/>
        <v>1+37,6281065205834i</v>
      </c>
      <c r="AN410" s="98">
        <f t="shared" si="268"/>
        <v>37.641392114590701</v>
      </c>
      <c r="AO410" s="98">
        <f t="shared" si="269"/>
        <v>1.5442267019483853</v>
      </c>
      <c r="AP410" s="168" t="str">
        <f t="shared" si="270"/>
        <v>-2,13861761804252+1,10371221606532i</v>
      </c>
      <c r="AQ410" s="98">
        <f t="shared" si="271"/>
        <v>7.628185034215468</v>
      </c>
      <c r="AR410" s="169">
        <f t="shared" si="272"/>
        <v>152.70234081403214</v>
      </c>
      <c r="AS410" s="168" t="str">
        <f t="shared" si="273"/>
        <v>0,468066741383114+0,44615581527177i</v>
      </c>
      <c r="AT410" s="190">
        <f t="shared" si="274"/>
        <v>-3.7867674180329116</v>
      </c>
      <c r="AU410" s="169">
        <f t="shared" si="275"/>
        <v>43.627070295545529</v>
      </c>
      <c r="AV410" s="225"/>
      <c r="AX410">
        <f t="shared" si="276"/>
        <v>0</v>
      </c>
      <c r="AY410">
        <f t="shared" si="277"/>
        <v>0</v>
      </c>
    </row>
    <row r="411" spans="14:51" x14ac:dyDescent="0.25">
      <c r="N411" s="170">
        <v>93</v>
      </c>
      <c r="O411" s="199">
        <f t="shared" si="243"/>
        <v>85113.803820237721</v>
      </c>
      <c r="P411" s="189" t="str">
        <f t="shared" si="244"/>
        <v>120,833333333333</v>
      </c>
      <c r="Q411" s="160" t="str">
        <f t="shared" si="245"/>
        <v>1+476,850673094657i</v>
      </c>
      <c r="R411" s="160">
        <f t="shared" si="253"/>
        <v>476.85172163978547</v>
      </c>
      <c r="S411" s="160">
        <f t="shared" si="254"/>
        <v>1.5686992373065214</v>
      </c>
      <c r="T411" s="160" t="str">
        <f t="shared" si="246"/>
        <v>1+0,0320871480960889i</v>
      </c>
      <c r="U411" s="160">
        <f t="shared" si="255"/>
        <v>1.0005146600989614</v>
      </c>
      <c r="V411" s="160">
        <f t="shared" si="256"/>
        <v>3.2076142744285926E-2</v>
      </c>
      <c r="W411" s="98" t="str">
        <f t="shared" si="247"/>
        <v>1-0,274665987702521i</v>
      </c>
      <c r="X411" s="160">
        <f t="shared" si="257"/>
        <v>1.0370349101166274</v>
      </c>
      <c r="Y411" s="160">
        <f t="shared" si="258"/>
        <v>-0.26805565582186192</v>
      </c>
      <c r="Z411" s="98" t="str">
        <f t="shared" si="248"/>
        <v>0,994012925949793+0,10638829725861i</v>
      </c>
      <c r="AA411" s="160">
        <f t="shared" si="259"/>
        <v>0.99969003533538092</v>
      </c>
      <c r="AB411" s="160">
        <f t="shared" si="260"/>
        <v>0.10662319368430453</v>
      </c>
      <c r="AC411" s="171" t="str">
        <f t="shared" si="261"/>
        <v>-0,0878322815705014-0,247899598258164i</v>
      </c>
      <c r="AD411" s="190">
        <f t="shared" si="262"/>
        <v>-11.600902579178188</v>
      </c>
      <c r="AE411" s="169">
        <f t="shared" si="263"/>
        <v>-109.50953477026864</v>
      </c>
      <c r="AF411" s="98" t="str">
        <f t="shared" si="249"/>
        <v>-0,0000375877424711299</v>
      </c>
      <c r="AG411" s="98" t="str">
        <f t="shared" si="250"/>
        <v>0,000541738017022303i</v>
      </c>
      <c r="AH411" s="98">
        <f t="shared" si="264"/>
        <v>5.41738017022303E-4</v>
      </c>
      <c r="AI411" s="98">
        <f t="shared" si="265"/>
        <v>1.5707963267948966</v>
      </c>
      <c r="AJ411" s="98" t="str">
        <f t="shared" si="251"/>
        <v>1+0,494135745606107i</v>
      </c>
      <c r="AK411" s="98">
        <f t="shared" si="266"/>
        <v>1.1154237468718797</v>
      </c>
      <c r="AL411" s="98">
        <f t="shared" si="267"/>
        <v>0.4589452096389417</v>
      </c>
      <c r="AM411" s="98" t="str">
        <f t="shared" si="252"/>
        <v>1+38,5045777153067i</v>
      </c>
      <c r="AN411" s="98">
        <f t="shared" si="268"/>
        <v>38.517560995396551</v>
      </c>
      <c r="AO411" s="98">
        <f t="shared" si="269"/>
        <v>1.544831225490261</v>
      </c>
      <c r="AP411" s="168" t="str">
        <f t="shared" si="270"/>
        <v>-2,11972770444599+1,11681684558074i</v>
      </c>
      <c r="AQ411" s="98">
        <f t="shared" si="271"/>
        <v>7.589516434720629</v>
      </c>
      <c r="AR411" s="169">
        <f t="shared" si="272"/>
        <v>152.21668574055647</v>
      </c>
      <c r="AS411" s="168" t="str">
        <f t="shared" si="273"/>
        <v>0,463038967937108+0,427387074705134i</v>
      </c>
      <c r="AT411" s="190">
        <f t="shared" si="274"/>
        <v>-4.0113861444575614</v>
      </c>
      <c r="AU411" s="169">
        <f t="shared" si="275"/>
        <v>42.707150970287792</v>
      </c>
      <c r="AV411" s="225"/>
      <c r="AX411">
        <f t="shared" si="276"/>
        <v>0</v>
      </c>
      <c r="AY411">
        <f t="shared" si="277"/>
        <v>0</v>
      </c>
    </row>
    <row r="412" spans="14:51" x14ac:dyDescent="0.25">
      <c r="N412" s="170">
        <v>94</v>
      </c>
      <c r="O412" s="199">
        <f t="shared" si="243"/>
        <v>87096.358995608127</v>
      </c>
      <c r="P412" s="189" t="str">
        <f t="shared" si="244"/>
        <v>120,833333333333</v>
      </c>
      <c r="Q412" s="160" t="str">
        <f t="shared" si="245"/>
        <v>1+487,957952142124i</v>
      </c>
      <c r="R412" s="160">
        <f t="shared" si="253"/>
        <v>487.95897681950214</v>
      </c>
      <c r="S412" s="160">
        <f t="shared" si="254"/>
        <v>1.5687469727559697</v>
      </c>
      <c r="T412" s="160" t="str">
        <f t="shared" si="246"/>
        <v>1+0,0328345537890026i</v>
      </c>
      <c r="U412" s="160">
        <f t="shared" si="255"/>
        <v>1.000538908749941</v>
      </c>
      <c r="V412" s="160">
        <f t="shared" si="256"/>
        <v>3.2822761685102175E-2</v>
      </c>
      <c r="W412" s="98" t="str">
        <f t="shared" si="247"/>
        <v>1-0,281063780433862i</v>
      </c>
      <c r="X412" s="160">
        <f t="shared" si="257"/>
        <v>1.0387477310067994</v>
      </c>
      <c r="Y412" s="160">
        <f t="shared" si="258"/>
        <v>-0.2739948736632114</v>
      </c>
      <c r="Z412" s="98" t="str">
        <f t="shared" si="248"/>
        <v>0,993730763842734+0,108866399045418i</v>
      </c>
      <c r="AA412" s="160">
        <f t="shared" si="259"/>
        <v>0.99967630953653175</v>
      </c>
      <c r="AB412" s="160">
        <f t="shared" si="260"/>
        <v>0.10911806085991403</v>
      </c>
      <c r="AC412" s="171" t="str">
        <f t="shared" si="261"/>
        <v>-0,0878524937695633-0,241993764842608i</v>
      </c>
      <c r="AD412" s="190">
        <f t="shared" si="262"/>
        <v>-11.786237717237093</v>
      </c>
      <c r="AE412" s="169">
        <f t="shared" si="263"/>
        <v>-109.9527291713683</v>
      </c>
      <c r="AF412" s="98" t="str">
        <f t="shared" si="249"/>
        <v>-0,0000375877424711299</v>
      </c>
      <c r="AG412" s="98" t="str">
        <f t="shared" si="250"/>
        <v>0,000554356716470994i</v>
      </c>
      <c r="AH412" s="98">
        <f t="shared" si="264"/>
        <v>5.5435671647099396E-4</v>
      </c>
      <c r="AI412" s="98">
        <f t="shared" si="265"/>
        <v>1.5707963267948966</v>
      </c>
      <c r="AJ412" s="98" t="str">
        <f t="shared" si="251"/>
        <v>1+0,505645645714156i</v>
      </c>
      <c r="AK412" s="98">
        <f t="shared" si="266"/>
        <v>1.1205701758612381</v>
      </c>
      <c r="AL412" s="98">
        <f t="shared" si="267"/>
        <v>0.46815391858908523</v>
      </c>
      <c r="AM412" s="98" t="str">
        <f t="shared" si="252"/>
        <v>1+39,4014645468031i</v>
      </c>
      <c r="AN412" s="98">
        <f t="shared" si="268"/>
        <v>39.414152387600339</v>
      </c>
      <c r="AO412" s="98">
        <f t="shared" si="269"/>
        <v>1.5454220067390139</v>
      </c>
      <c r="AP412" s="168" t="str">
        <f t="shared" si="270"/>
        <v>-2,10030192021232+1,12981277258567i</v>
      </c>
      <c r="AQ412" s="98">
        <f t="shared" si="271"/>
        <v>7.5494012169562197</v>
      </c>
      <c r="AR412" s="169">
        <f t="shared" si="272"/>
        <v>151.72291485511806</v>
      </c>
      <c r="AS412" s="168" t="str">
        <f t="shared" si="273"/>
        <v>0,457924407764926+0,409003099413983i</v>
      </c>
      <c r="AT412" s="190">
        <f t="shared" si="274"/>
        <v>-4.2368365002808739</v>
      </c>
      <c r="AU412" s="169">
        <f t="shared" si="275"/>
        <v>41.770185683749801</v>
      </c>
      <c r="AV412" s="225"/>
      <c r="AX412">
        <f t="shared" si="276"/>
        <v>0</v>
      </c>
      <c r="AY412">
        <f t="shared" si="277"/>
        <v>0</v>
      </c>
    </row>
    <row r="413" spans="14:51" x14ac:dyDescent="0.25">
      <c r="N413" s="170">
        <v>95</v>
      </c>
      <c r="O413" s="199">
        <f t="shared" si="243"/>
        <v>89125.093813374609</v>
      </c>
      <c r="P413" s="189" t="str">
        <f t="shared" si="244"/>
        <v>120,833333333333</v>
      </c>
      <c r="Q413" s="160" t="str">
        <f t="shared" si="245"/>
        <v>1+499,323952954703i</v>
      </c>
      <c r="R413" s="160">
        <f t="shared" si="253"/>
        <v>499.32495430762361</v>
      </c>
      <c r="S413" s="160">
        <f t="shared" si="254"/>
        <v>1.5687936216229545</v>
      </c>
      <c r="T413" s="160" t="str">
        <f t="shared" si="246"/>
        <v>1+0,0335993687969518i</v>
      </c>
      <c r="U413" s="160">
        <f t="shared" si="255"/>
        <v>1.0005642995747717</v>
      </c>
      <c r="V413" s="160">
        <f t="shared" si="256"/>
        <v>3.3586733714817685E-2</v>
      </c>
      <c r="W413" s="98" t="str">
        <f t="shared" si="247"/>
        <v>1-0,287610596901908i</v>
      </c>
      <c r="X413" s="160">
        <f t="shared" si="257"/>
        <v>1.0405382527568467</v>
      </c>
      <c r="Y413" s="160">
        <f t="shared" si="258"/>
        <v>-0.28005197281710015</v>
      </c>
      <c r="Z413" s="98" t="str">
        <f t="shared" si="248"/>
        <v>0,993435303845254+0,111402223238016i</v>
      </c>
      <c r="AA413" s="160">
        <f t="shared" si="259"/>
        <v>0.99966202201968501</v>
      </c>
      <c r="AB413" s="160">
        <f t="shared" si="260"/>
        <v>0.11167184529101615</v>
      </c>
      <c r="AC413" s="171" t="str">
        <f t="shared" si="261"/>
        <v>-0,0878714380342636-0,236216119001297i</v>
      </c>
      <c r="AD413" s="190">
        <f t="shared" si="262"/>
        <v>-11.970933086351492</v>
      </c>
      <c r="AE413" s="169">
        <f t="shared" si="263"/>
        <v>-110.40499686889528</v>
      </c>
      <c r="AF413" s="98" t="str">
        <f t="shared" si="249"/>
        <v>-0,0000375877424711299</v>
      </c>
      <c r="AG413" s="98" t="str">
        <f t="shared" si="250"/>
        <v>0,000567269343188537i</v>
      </c>
      <c r="AH413" s="98">
        <f t="shared" si="264"/>
        <v>5.6726934318853696E-4</v>
      </c>
      <c r="AI413" s="98">
        <f t="shared" si="265"/>
        <v>1.5707963267948966</v>
      </c>
      <c r="AJ413" s="98" t="str">
        <f t="shared" si="251"/>
        <v>1+0,517423645836573i</v>
      </c>
      <c r="AK413" s="98">
        <f t="shared" si="266"/>
        <v>1.1259339364593339</v>
      </c>
      <c r="AL413" s="98">
        <f t="shared" si="267"/>
        <v>0.47748916731492652</v>
      </c>
      <c r="AM413" s="98" t="str">
        <f t="shared" si="252"/>
        <v>1+40,3192425563422i</v>
      </c>
      <c r="AN413" s="98">
        <f t="shared" si="268"/>
        <v>40.331641676445017</v>
      </c>
      <c r="AO413" s="98">
        <f t="shared" si="269"/>
        <v>1.5459993572841697</v>
      </c>
      <c r="AP413" s="168" t="str">
        <f t="shared" si="270"/>
        <v>-2,0803386118814+1,14267722787421i</v>
      </c>
      <c r="AQ413" s="98">
        <f t="shared" si="271"/>
        <v>7.5077983949088258</v>
      </c>
      <c r="AR413" s="169">
        <f t="shared" si="272"/>
        <v>151.22112425195954</v>
      </c>
      <c r="AS413" s="168" t="str">
        <f t="shared" si="273"/>
        <v>0,452721125463829+0,391000821884857i</v>
      </c>
      <c r="AT413" s="190">
        <f t="shared" si="274"/>
        <v>-4.4631346914426677</v>
      </c>
      <c r="AU413" s="169">
        <f t="shared" si="275"/>
        <v>40.816127383064256</v>
      </c>
      <c r="AV413" s="225"/>
      <c r="AX413">
        <f t="shared" si="276"/>
        <v>0</v>
      </c>
      <c r="AY413">
        <f t="shared" si="277"/>
        <v>0</v>
      </c>
    </row>
    <row r="414" spans="14:51" x14ac:dyDescent="0.25">
      <c r="N414" s="170">
        <v>96</v>
      </c>
      <c r="O414" s="199">
        <f t="shared" si="243"/>
        <v>91201.083935591028</v>
      </c>
      <c r="P414" s="189" t="str">
        <f t="shared" si="244"/>
        <v>120,833333333333</v>
      </c>
      <c r="Q414" s="160" t="str">
        <f t="shared" si="245"/>
        <v>1+510,954701936473i</v>
      </c>
      <c r="R414" s="160">
        <f t="shared" si="253"/>
        <v>510.95568049586251</v>
      </c>
      <c r="S414" s="160">
        <f t="shared" si="254"/>
        <v>1.5688392086405099</v>
      </c>
      <c r="T414" s="160" t="str">
        <f t="shared" si="246"/>
        <v>1+0,0343819986349774i</v>
      </c>
      <c r="U414" s="160">
        <f t="shared" si="255"/>
        <v>1.0005908863417334</v>
      </c>
      <c r="V414" s="160">
        <f t="shared" si="256"/>
        <v>3.4368460332318079E-2</v>
      </c>
      <c r="W414" s="98" t="str">
        <f t="shared" si="247"/>
        <v>1-0,294309908315407i</v>
      </c>
      <c r="X414" s="160">
        <f t="shared" si="257"/>
        <v>1.0424098628335321</v>
      </c>
      <c r="Y414" s="160">
        <f t="shared" si="258"/>
        <v>-0.2862283863380416</v>
      </c>
      <c r="Z414" s="98" t="str">
        <f t="shared" si="248"/>
        <v>0,993125919247085+0,113997114363958i</v>
      </c>
      <c r="AA414" s="160">
        <f t="shared" si="259"/>
        <v>0.99964715453187636</v>
      </c>
      <c r="AB414" s="160">
        <f t="shared" si="260"/>
        <v>0.11428597644388463</v>
      </c>
      <c r="AC414" s="171" t="str">
        <f t="shared" si="261"/>
        <v>-0,0878891523815464-0,230563589463748i</v>
      </c>
      <c r="AD414" s="190">
        <f t="shared" si="262"/>
        <v>-12.15496309893561</v>
      </c>
      <c r="AE414" s="169">
        <f t="shared" si="263"/>
        <v>-110.8664802861165</v>
      </c>
      <c r="AF414" s="98" t="str">
        <f t="shared" si="249"/>
        <v>-0,0000375877424711299</v>
      </c>
      <c r="AG414" s="98" t="str">
        <f t="shared" si="250"/>
        <v>0,000580482743620536i</v>
      </c>
      <c r="AH414" s="98">
        <f t="shared" si="264"/>
        <v>5.8048274362053603E-4</v>
      </c>
      <c r="AI414" s="98">
        <f t="shared" si="265"/>
        <v>1.5707963267948966</v>
      </c>
      <c r="AJ414" s="98" t="str">
        <f t="shared" si="251"/>
        <v>1+0,529475990824923i</v>
      </c>
      <c r="AK414" s="98">
        <f t="shared" si="266"/>
        <v>1.1315232321344684</v>
      </c>
      <c r="AL414" s="98">
        <f t="shared" si="267"/>
        <v>0.48694939628543432</v>
      </c>
      <c r="AM414" s="98" t="str">
        <f t="shared" si="252"/>
        <v>1+41,258398361973i</v>
      </c>
      <c r="AN414" s="98">
        <f t="shared" si="268"/>
        <v>41.270515327473881</v>
      </c>
      <c r="AO414" s="98">
        <f t="shared" si="269"/>
        <v>1.546563581704145</v>
      </c>
      <c r="AP414" s="168" t="str">
        <f t="shared" si="270"/>
        <v>-2,05983720414834+1,15538690251291i</v>
      </c>
      <c r="AQ414" s="98">
        <f t="shared" si="271"/>
        <v>7.4646669101808341</v>
      </c>
      <c r="AR414" s="169">
        <f t="shared" si="272"/>
        <v>150.71142073668469</v>
      </c>
      <c r="AS414" s="168" t="str">
        <f t="shared" si="273"/>
        <v>0,44742749737935+0,373377483964812i</v>
      </c>
      <c r="AT414" s="190">
        <f t="shared" si="274"/>
        <v>-4.6902961887547798</v>
      </c>
      <c r="AU414" s="169">
        <f t="shared" si="275"/>
        <v>39.84494045056816</v>
      </c>
      <c r="AV414" s="225"/>
      <c r="AX414">
        <f t="shared" si="276"/>
        <v>0</v>
      </c>
      <c r="AY414">
        <f t="shared" si="277"/>
        <v>0</v>
      </c>
    </row>
    <row r="415" spans="14:51" x14ac:dyDescent="0.25">
      <c r="N415" s="170">
        <v>97</v>
      </c>
      <c r="O415" s="199">
        <f t="shared" si="243"/>
        <v>93325.430079699145</v>
      </c>
      <c r="P415" s="189" t="str">
        <f t="shared" si="244"/>
        <v>120,833333333333</v>
      </c>
      <c r="Q415" s="160" t="str">
        <f t="shared" si="245"/>
        <v>1+522,856365864494i</v>
      </c>
      <c r="R415" s="160">
        <f t="shared" si="253"/>
        <v>522.85732214919358</v>
      </c>
      <c r="S415" s="160">
        <f t="shared" si="254"/>
        <v>1.5688837579787174</v>
      </c>
      <c r="T415" s="160" t="str">
        <f t="shared" si="246"/>
        <v>1+0,0351828582637789i</v>
      </c>
      <c r="U415" s="160">
        <f t="shared" si="255"/>
        <v>1.0006187253472769</v>
      </c>
      <c r="V415" s="160">
        <f t="shared" si="256"/>
        <v>3.5168352195536275E-2</v>
      </c>
      <c r="W415" s="98" t="str">
        <f t="shared" si="247"/>
        <v>1-0,301165266737947i</v>
      </c>
      <c r="X415" s="160">
        <f t="shared" si="257"/>
        <v>1.0443660842297295</v>
      </c>
      <c r="Y415" s="160">
        <f t="shared" si="258"/>
        <v>-0.29252550337239619</v>
      </c>
      <c r="Z415" s="98" t="str">
        <f t="shared" si="248"/>
        <v>0,992801953802016+0,116652448268866i</v>
      </c>
      <c r="AA415" s="160">
        <f t="shared" si="259"/>
        <v>0.99963168875352304</v>
      </c>
      <c r="AB415" s="160">
        <f t="shared" si="260"/>
        <v>0.11696192111399836</v>
      </c>
      <c r="AC415" s="171" t="str">
        <f t="shared" si="261"/>
        <v>-0,0879056720109174-0,225033170709949i</v>
      </c>
      <c r="AD415" s="190">
        <f t="shared" si="262"/>
        <v>-12.338301350518845</v>
      </c>
      <c r="AE415" s="169">
        <f t="shared" si="263"/>
        <v>-111.33732091232309</v>
      </c>
      <c r="AF415" s="98" t="str">
        <f t="shared" si="249"/>
        <v>-0,0000375877424711299</v>
      </c>
      <c r="AG415" s="98" t="str">
        <f t="shared" si="250"/>
        <v>0,0005940039236868i</v>
      </c>
      <c r="AH415" s="98">
        <f t="shared" si="264"/>
        <v>5.9400392368679996E-4</v>
      </c>
      <c r="AI415" s="98">
        <f t="shared" si="265"/>
        <v>1.5707963267948966</v>
      </c>
      <c r="AJ415" s="98" t="str">
        <f t="shared" si="251"/>
        <v>1+0,541809070992053i</v>
      </c>
      <c r="AK415" s="98">
        <f t="shared" si="266"/>
        <v>1.1373465036695156</v>
      </c>
      <c r="AL415" s="98">
        <f t="shared" si="267"/>
        <v>0.4965328473640766</v>
      </c>
      <c r="AM415" s="98" t="str">
        <f t="shared" si="252"/>
        <v>1+42,2194299165347i</v>
      </c>
      <c r="AN415" s="98">
        <f t="shared" si="268"/>
        <v>42.231271144463378</v>
      </c>
      <c r="AO415" s="98">
        <f t="shared" si="269"/>
        <v>1.547114977720409</v>
      </c>
      <c r="AP415" s="168" t="str">
        <f t="shared" si="270"/>
        <v>-2,03879826159496+1,16791800179519i</v>
      </c>
      <c r="AQ415" s="98">
        <f t="shared" si="271"/>
        <v>7.4199657155454579</v>
      </c>
      <c r="AR415" s="169">
        <f t="shared" si="272"/>
        <v>150.19392210128066</v>
      </c>
      <c r="AS415" s="168" t="str">
        <f t="shared" si="273"/>
        <v>0,442042222353395+0,356130620443192i</v>
      </c>
      <c r="AT415" s="190">
        <f t="shared" si="274"/>
        <v>-4.9183356349733804</v>
      </c>
      <c r="AU415" s="169">
        <f t="shared" si="275"/>
        <v>38.856601188957541</v>
      </c>
      <c r="AV415" s="225"/>
      <c r="AX415">
        <f t="shared" si="276"/>
        <v>0</v>
      </c>
      <c r="AY415">
        <f t="shared" si="277"/>
        <v>0</v>
      </c>
    </row>
    <row r="416" spans="14:51" x14ac:dyDescent="0.25">
      <c r="N416" s="170">
        <v>98</v>
      </c>
      <c r="O416" s="199">
        <f t="shared" si="243"/>
        <v>95499.258602143804</v>
      </c>
      <c r="P416" s="189" t="str">
        <f t="shared" si="244"/>
        <v>120,833333333333</v>
      </c>
      <c r="Q416" s="160" t="str">
        <f t="shared" si="245"/>
        <v>1+535,03525515852i</v>
      </c>
      <c r="R416" s="160">
        <f t="shared" si="253"/>
        <v>535.03618967556076</v>
      </c>
      <c r="S416" s="160">
        <f t="shared" si="254"/>
        <v>1.5689272932575185</v>
      </c>
      <c r="T416" s="160" t="str">
        <f t="shared" si="246"/>
        <v>1+0,036002372309732i</v>
      </c>
      <c r="U416" s="160">
        <f t="shared" si="255"/>
        <v>1.0006478755346102</v>
      </c>
      <c r="V416" s="160">
        <f t="shared" si="256"/>
        <v>3.5986829321047513E-2</v>
      </c>
      <c r="W416" s="98" t="str">
        <f t="shared" si="247"/>
        <v>1-0,308180306971306i</v>
      </c>
      <c r="X416" s="160">
        <f t="shared" si="257"/>
        <v>1.0464105798418364</v>
      </c>
      <c r="Y416" s="160">
        <f t="shared" si="258"/>
        <v>-0.29894466435261696</v>
      </c>
      <c r="Z416" s="98" t="str">
        <f t="shared" si="248"/>
        <v>0,992462720335902+0,119369632845924i</v>
      </c>
      <c r="AA416" s="160">
        <f t="shared" si="259"/>
        <v>0.99961560637192404</v>
      </c>
      <c r="AB416" s="160">
        <f t="shared" si="260"/>
        <v>0.11970118457757283</v>
      </c>
      <c r="AC416" s="171" t="str">
        <f t="shared" si="261"/>
        <v>-0,0879210293589863-0,219621921339545i</v>
      </c>
      <c r="AD416" s="190">
        <f t="shared" si="262"/>
        <v>-12.520920611934397</v>
      </c>
      <c r="AE416" s="169">
        <f t="shared" si="263"/>
        <v>-111.81765908275752</v>
      </c>
      <c r="AF416" s="98" t="str">
        <f t="shared" si="249"/>
        <v>-0,0000375877424711299</v>
      </c>
      <c r="AG416" s="98" t="str">
        <f t="shared" si="250"/>
        <v>0,000607840052495976i</v>
      </c>
      <c r="AH416" s="98">
        <f t="shared" si="264"/>
        <v>6.07840052495976E-4</v>
      </c>
      <c r="AI416" s="98">
        <f t="shared" si="265"/>
        <v>1.5707963267948966</v>
      </c>
      <c r="AJ416" s="98" t="str">
        <f t="shared" si="251"/>
        <v>1+0,554429425500314i</v>
      </c>
      <c r="AK416" s="98">
        <f t="shared" si="266"/>
        <v>1.1434124312165792</v>
      </c>
      <c r="AL416" s="98">
        <f t="shared" si="267"/>
        <v>0.50623755966549555</v>
      </c>
      <c r="AM416" s="98" t="str">
        <f t="shared" si="252"/>
        <v>1+43,2028467716784i</v>
      </c>
      <c r="AN416" s="98">
        <f t="shared" si="268"/>
        <v>43.214418533368267</v>
      </c>
      <c r="AO416" s="98">
        <f t="shared" si="269"/>
        <v>1.5476538363484988</v>
      </c>
      <c r="AP416" s="168" t="str">
        <f t="shared" si="270"/>
        <v>-2,017223548005+1,18024630555459i</v>
      </c>
      <c r="AQ416" s="98">
        <f t="shared" si="271"/>
        <v>7.3736538631207127</v>
      </c>
      <c r="AR416" s="169">
        <f t="shared" si="272"/>
        <v>149.6687573701644</v>
      </c>
      <c r="AS416" s="168" t="str">
        <f t="shared" si="273"/>
        <v>0,436564332067585+0,339258041302732i</v>
      </c>
      <c r="AT416" s="190">
        <f t="shared" si="274"/>
        <v>-5.1472667488136814</v>
      </c>
      <c r="AU416" s="169">
        <f t="shared" si="275"/>
        <v>37.851098287406892</v>
      </c>
      <c r="AV416" s="225"/>
      <c r="AX416">
        <f t="shared" si="276"/>
        <v>0</v>
      </c>
      <c r="AY416">
        <f t="shared" si="277"/>
        <v>0</v>
      </c>
    </row>
    <row r="417" spans="14:51" x14ac:dyDescent="0.25">
      <c r="N417" s="170">
        <v>99</v>
      </c>
      <c r="O417" s="199">
        <f t="shared" si="243"/>
        <v>97723.722095581266</v>
      </c>
      <c r="P417" s="189" t="str">
        <f t="shared" si="244"/>
        <v>120,833333333333</v>
      </c>
      <c r="Q417" s="160" t="str">
        <f t="shared" si="245"/>
        <v>1+547,497827226858i</v>
      </c>
      <c r="R417" s="160">
        <f t="shared" si="253"/>
        <v>547.49874047172977</v>
      </c>
      <c r="S417" s="160">
        <f t="shared" si="254"/>
        <v>1.5689698375592336</v>
      </c>
      <c r="T417" s="160" t="str">
        <f t="shared" si="246"/>
        <v>1+0,0368409752900313i</v>
      </c>
      <c r="U417" s="160">
        <f t="shared" si="255"/>
        <v>1.000678398617818</v>
      </c>
      <c r="V417" s="160">
        <f t="shared" si="256"/>
        <v>3.6824321287338063E-2</v>
      </c>
      <c r="W417" s="98" t="str">
        <f t="shared" si="247"/>
        <v>1-0,315358748482669i</v>
      </c>
      <c r="X417" s="160">
        <f t="shared" si="257"/>
        <v>1.0485471569007068</v>
      </c>
      <c r="Y417" s="160">
        <f t="shared" si="258"/>
        <v>-0.30548715597896292</v>
      </c>
      <c r="Z417" s="98" t="str">
        <f t="shared" si="248"/>
        <v>0,992107499289079+0,12215010878236i</v>
      </c>
      <c r="AA417" s="160">
        <f t="shared" si="259"/>
        <v>0.99959888916563555</v>
      </c>
      <c r="AB417" s="160">
        <f t="shared" si="260"/>
        <v>0.12250531178928195</v>
      </c>
      <c r="AC417" s="171" t="str">
        <f t="shared" si="261"/>
        <v>-0,0879352541462225-0,214326962472475i</v>
      </c>
      <c r="AD417" s="190">
        <f t="shared" si="262"/>
        <v>-12.702792823242524</v>
      </c>
      <c r="AE417" s="169">
        <f t="shared" si="263"/>
        <v>-112.3076337487815</v>
      </c>
      <c r="AF417" s="98" t="str">
        <f t="shared" si="249"/>
        <v>-0,0000375877424711299</v>
      </c>
      <c r="AG417" s="98" t="str">
        <f t="shared" si="250"/>
        <v>0,000621998466146698i</v>
      </c>
      <c r="AH417" s="98">
        <f t="shared" si="264"/>
        <v>6.2199846614669797E-4</v>
      </c>
      <c r="AI417" s="98">
        <f t="shared" si="265"/>
        <v>1.5707963267948966</v>
      </c>
      <c r="AJ417" s="98" t="str">
        <f t="shared" si="251"/>
        <v>1+0,567343745828715i</v>
      </c>
      <c r="AK417" s="98">
        <f t="shared" si="266"/>
        <v>1.1497299360854085</v>
      </c>
      <c r="AL417" s="98">
        <f t="shared" si="267"/>
        <v>0.51606136597017571</v>
      </c>
      <c r="AM417" s="98" t="str">
        <f t="shared" si="252"/>
        <v>1+44,2091703480377i</v>
      </c>
      <c r="AN417" s="98">
        <f t="shared" si="268"/>
        <v>44.22047877241738</v>
      </c>
      <c r="AO417" s="98">
        <f t="shared" si="269"/>
        <v>1.5481804420459335</v>
      </c>
      <c r="AP417" s="168" t="str">
        <f t="shared" si="270"/>
        <v>-1,99511608260803+1,1923472348256i</v>
      </c>
      <c r="AQ417" s="98">
        <f t="shared" si="271"/>
        <v>7.3256905969534269</v>
      </c>
      <c r="AR417" s="169">
        <f t="shared" si="272"/>
        <v>149.13606701408273</v>
      </c>
      <c r="AS417" s="168" t="str">
        <f t="shared" si="273"/>
        <v>0,430993200827979+0,322757812640428i</v>
      </c>
      <c r="AT417" s="190">
        <f t="shared" si="274"/>
        <v>-5.3771022262890913</v>
      </c>
      <c r="AU417" s="169">
        <f t="shared" si="275"/>
        <v>36.828433265301236</v>
      </c>
      <c r="AV417" s="225"/>
      <c r="AX417">
        <f t="shared" si="276"/>
        <v>0</v>
      </c>
      <c r="AY417">
        <f t="shared" si="277"/>
        <v>0</v>
      </c>
    </row>
    <row r="418" spans="14:51" x14ac:dyDescent="0.25">
      <c r="N418" s="170">
        <v>100</v>
      </c>
      <c r="O418" s="199">
        <f t="shared" si="243"/>
        <v>100000</v>
      </c>
      <c r="P418" s="189" t="str">
        <f t="shared" si="244"/>
        <v>120,833333333333</v>
      </c>
      <c r="Q418" s="160" t="str">
        <f t="shared" si="245"/>
        <v>1+560,250689890182i</v>
      </c>
      <c r="R418" s="160">
        <f t="shared" si="253"/>
        <v>560.25158234709602</v>
      </c>
      <c r="S418" s="160">
        <f t="shared" si="254"/>
        <v>1.5690114134407982</v>
      </c>
      <c r="T418" s="160" t="str">
        <f t="shared" si="246"/>
        <v>1+0,0376991118430775i</v>
      </c>
      <c r="U418" s="160">
        <f t="shared" si="255"/>
        <v>1.0007103592117736</v>
      </c>
      <c r="V418" s="160">
        <f t="shared" si="256"/>
        <v>3.7681267441764386E-2</v>
      </c>
      <c r="W418" s="98" t="str">
        <f t="shared" si="247"/>
        <v>1-0,322704397376743i</v>
      </c>
      <c r="X418" s="160">
        <f t="shared" si="257"/>
        <v>1.0507797714489402</v>
      </c>
      <c r="Y418" s="160">
        <f t="shared" si="258"/>
        <v>-0.31215420599103105</v>
      </c>
      <c r="Z418" s="98" t="str">
        <f t="shared" si="248"/>
        <v>0,991735537190083+0,124995350323321i</v>
      </c>
      <c r="AA418" s="160">
        <f t="shared" si="259"/>
        <v>0.99958151910094462</v>
      </c>
      <c r="AB418" s="160">
        <f t="shared" si="260"/>
        <v>0.1253758886285419</v>
      </c>
      <c r="AC418" s="171" t="str">
        <f t="shared" si="261"/>
        <v>-0,0879483734158234-0,20914547617999i</v>
      </c>
      <c r="AD418" s="190">
        <f t="shared" si="262"/>
        <v>-12.88388908957576</v>
      </c>
      <c r="AE418" s="169">
        <f t="shared" si="263"/>
        <v>-112.80738223855788</v>
      </c>
      <c r="AF418" s="98" t="str">
        <f t="shared" si="249"/>
        <v>-0,0000375877424711299</v>
      </c>
      <c r="AG418" s="98" t="str">
        <f t="shared" si="250"/>
        <v>0,000636486671617292i</v>
      </c>
      <c r="AH418" s="98">
        <f t="shared" si="264"/>
        <v>6.3648667161729196E-4</v>
      </c>
      <c r="AI418" s="98">
        <f t="shared" si="265"/>
        <v>1.5707963267948966</v>
      </c>
      <c r="AJ418" s="98" t="str">
        <f t="shared" si="251"/>
        <v>1+0,580558879320837i</v>
      </c>
      <c r="AK418" s="98">
        <f t="shared" si="266"/>
        <v>1.1563081822586339</v>
      </c>
      <c r="AL418" s="98">
        <f t="shared" si="267"/>
        <v>0.52600188975213868</v>
      </c>
      <c r="AM418" s="98" t="str">
        <f t="shared" si="252"/>
        <v>1+45,238934211693i</v>
      </c>
      <c r="AN418" s="98">
        <f t="shared" si="268"/>
        <v>45.249985288504654</v>
      </c>
      <c r="AO418" s="98">
        <f t="shared" si="269"/>
        <v>1.5486950728570752</v>
      </c>
      <c r="AP418" s="168" t="str">
        <f t="shared" si="270"/>
        <v>-1,97248019257419+1,20419592477193i</v>
      </c>
      <c r="AQ418" s="98">
        <f t="shared" si="271"/>
        <v>7.2760354497531949</v>
      </c>
      <c r="AR418" s="169">
        <f t="shared" si="272"/>
        <v>148.59600312871265</v>
      </c>
      <c r="AS418" s="168" t="str">
        <f t="shared" si="273"/>
        <v>0,425328554632259+0,306628236273873i</v>
      </c>
      <c r="AT418" s="190">
        <f t="shared" si="274"/>
        <v>-5.6078536398225598</v>
      </c>
      <c r="AU418" s="169">
        <f t="shared" si="275"/>
        <v>35.788620890154782</v>
      </c>
      <c r="AV418" s="225"/>
      <c r="AX418">
        <f t="shared" si="276"/>
        <v>0</v>
      </c>
      <c r="AY418">
        <f t="shared" si="277"/>
        <v>0</v>
      </c>
    </row>
    <row r="419" spans="14:51" x14ac:dyDescent="0.25">
      <c r="N419" s="170">
        <v>1</v>
      </c>
      <c r="O419" s="199">
        <f>10^(5+(N419/100))</f>
        <v>102329.29922807543</v>
      </c>
      <c r="P419" s="189" t="str">
        <f t="shared" si="244"/>
        <v>120,833333333333</v>
      </c>
      <c r="Q419" s="160" t="str">
        <f t="shared" si="245"/>
        <v>1+573,300604885081i</v>
      </c>
      <c r="R419" s="160">
        <f t="shared" si="253"/>
        <v>573.30147702722672</v>
      </c>
      <c r="S419" s="160">
        <f t="shared" si="254"/>
        <v>1.5690520429457198</v>
      </c>
      <c r="T419" s="160" t="str">
        <f t="shared" si="246"/>
        <v>1+0,0385772369642295i</v>
      </c>
      <c r="U419" s="160">
        <f t="shared" si="255"/>
        <v>1.0007438249681055</v>
      </c>
      <c r="V419" s="160">
        <f t="shared" si="256"/>
        <v>3.8558117111213236E-2</v>
      </c>
      <c r="W419" s="98" t="str">
        <f t="shared" si="247"/>
        <v>1-0,330221148413805i</v>
      </c>
      <c r="X419" s="160">
        <f t="shared" si="257"/>
        <v>1.0531125328566422</v>
      </c>
      <c r="Y419" s="160">
        <f t="shared" si="258"/>
        <v>-0.31894697773293784</v>
      </c>
      <c r="Z419" s="98" t="str">
        <f t="shared" si="248"/>
        <v>0,991346045057431+0,127906866053532i</v>
      </c>
      <c r="AA419" s="160">
        <f t="shared" si="259"/>
        <v>0.99956347844178783</v>
      </c>
      <c r="AB419" s="160">
        <f t="shared" si="260"/>
        <v>0.12831454319683924</v>
      </c>
      <c r="AC419" s="171" t="str">
        <f t="shared" si="261"/>
        <v>-0,0879604115645858-0,204074703945159i</v>
      </c>
      <c r="AD419" s="190">
        <f t="shared" si="262"/>
        <v>-13.064179679095604</v>
      </c>
      <c r="AE419" s="169">
        <f t="shared" si="263"/>
        <v>-113.31704000860391</v>
      </c>
      <c r="AF419" s="98" t="str">
        <f t="shared" si="249"/>
        <v>-0,0000375877424711299</v>
      </c>
      <c r="AG419" s="98" t="str">
        <f t="shared" si="250"/>
        <v>0,000651312350746077i</v>
      </c>
      <c r="AH419" s="98">
        <f t="shared" si="264"/>
        <v>6.5131235074607696E-4</v>
      </c>
      <c r="AI419" s="98">
        <f t="shared" si="265"/>
        <v>1.5707963267948966</v>
      </c>
      <c r="AJ419" s="98" t="str">
        <f t="shared" si="251"/>
        <v>1+0,594081832815381i</v>
      </c>
      <c r="AK419" s="98">
        <f t="shared" si="266"/>
        <v>1.1631565776288599</v>
      </c>
      <c r="AL419" s="98">
        <f t="shared" si="267"/>
        <v>0.53605654287367721</v>
      </c>
      <c r="AM419" s="98" t="str">
        <f t="shared" si="252"/>
        <v>1+46,2926843570755i</v>
      </c>
      <c r="AN419" s="98">
        <f t="shared" si="268"/>
        <v>46.30348394002143</v>
      </c>
      <c r="AO419" s="98">
        <f t="shared" si="269"/>
        <v>1.5491980005549886</v>
      </c>
      <c r="AP419" s="168" t="str">
        <f t="shared" si="270"/>
        <v>-1,94932156106696+1,21576730372765i</v>
      </c>
      <c r="AQ419" s="98">
        <f t="shared" si="271"/>
        <v>7.2246483434652484</v>
      </c>
      <c r="AR419" s="169">
        <f t="shared" si="272"/>
        <v>148.04872957487109</v>
      </c>
      <c r="AS419" s="168" t="str">
        <f t="shared" si="273"/>
        <v>0,419570479357595+0,290867828066004i</v>
      </c>
      <c r="AT419" s="190">
        <f t="shared" si="274"/>
        <v>-5.8395313356303591</v>
      </c>
      <c r="AU419" s="169">
        <f t="shared" si="275"/>
        <v>34.73168956626715</v>
      </c>
      <c r="AV419" s="225"/>
      <c r="AX419">
        <f t="shared" si="276"/>
        <v>0</v>
      </c>
      <c r="AY419">
        <f t="shared" si="277"/>
        <v>0</v>
      </c>
    </row>
    <row r="420" spans="14:51" x14ac:dyDescent="0.25">
      <c r="N420" s="170">
        <v>2</v>
      </c>
      <c r="O420" s="199">
        <f t="shared" ref="O420:O483" si="278">10^(5+(N420/100))</f>
        <v>104712.85480508996</v>
      </c>
      <c r="P420" s="189" t="str">
        <f t="shared" si="244"/>
        <v>120,833333333333</v>
      </c>
      <c r="Q420" s="160" t="str">
        <f t="shared" si="245"/>
        <v>1+586,654491449221i</v>
      </c>
      <c r="R420" s="160">
        <f t="shared" si="253"/>
        <v>586.65534373901687</v>
      </c>
      <c r="S420" s="160">
        <f t="shared" si="254"/>
        <v>1.5690917476157626</v>
      </c>
      <c r="T420" s="160" t="str">
        <f t="shared" si="246"/>
        <v>1+0,0394758162470502i</v>
      </c>
      <c r="U420" s="160">
        <f t="shared" si="255"/>
        <v>1.0007788667175037</v>
      </c>
      <c r="V420" s="160">
        <f t="shared" si="256"/>
        <v>3.9455329816473733E-2</v>
      </c>
      <c r="W420" s="98" t="str">
        <f t="shared" si="247"/>
        <v>1-0,33791298707475i</v>
      </c>
      <c r="X420" s="160">
        <f t="shared" si="257"/>
        <v>1.0555497083670575</v>
      </c>
      <c r="Y420" s="160">
        <f t="shared" si="258"/>
        <v>-0.32586656451763063</v>
      </c>
      <c r="Z420" s="98" t="str">
        <f t="shared" si="248"/>
        <v>0,990938196726089+0,130886199697173i</v>
      </c>
      <c r="AA420" s="160">
        <f t="shared" si="259"/>
        <v>0.99954474987462238</v>
      </c>
      <c r="AB420" s="160">
        <f t="shared" si="260"/>
        <v>0.13132294716875775</v>
      </c>
      <c r="AC420" s="171" t="str">
        <f t="shared" si="261"/>
        <v>-0,0879713903656173-0,199111945151825i</v>
      </c>
      <c r="AD420" s="190">
        <f t="shared" si="262"/>
        <v>-13.243634023263414</v>
      </c>
      <c r="AE420" s="169">
        <f t="shared" si="263"/>
        <v>-113.83674038668617</v>
      </c>
      <c r="AF420" s="98" t="str">
        <f t="shared" si="249"/>
        <v>-0,0000375877424711299</v>
      </c>
      <c r="AG420" s="98" t="str">
        <f t="shared" si="250"/>
        <v>0,000666483364304365i</v>
      </c>
      <c r="AH420" s="98">
        <f t="shared" si="264"/>
        <v>6.6648336430436504E-4</v>
      </c>
      <c r="AI420" s="98">
        <f t="shared" si="265"/>
        <v>1.5707963267948966</v>
      </c>
      <c r="AJ420" s="98" t="str">
        <f t="shared" si="251"/>
        <v>1+0,607919776361286i</v>
      </c>
      <c r="AK420" s="98">
        <f t="shared" si="266"/>
        <v>1.1702847749548637</v>
      </c>
      <c r="AL420" s="98">
        <f t="shared" si="267"/>
        <v>0.54622252399946858</v>
      </c>
      <c r="AM420" s="98" t="str">
        <f t="shared" si="252"/>
        <v>1+47,3709794964603i</v>
      </c>
      <c r="AN420" s="98">
        <f t="shared" si="268"/>
        <v>47.38153330627938</v>
      </c>
      <c r="AO420" s="98">
        <f t="shared" si="269"/>
        <v>1.5496894907803436</v>
      </c>
      <c r="AP420" s="168" t="str">
        <f t="shared" si="270"/>
        <v>-1,92564727015407+1,22703617811754i</v>
      </c>
      <c r="AQ420" s="98">
        <f t="shared" si="271"/>
        <v>7.17148969331787</v>
      </c>
      <c r="AR420" s="169">
        <f t="shared" si="272"/>
        <v>147.49442207733858</v>
      </c>
      <c r="AS420" s="168" t="str">
        <f t="shared" si="273"/>
        <v>0,413719427905854+0,275475295018765i</v>
      </c>
      <c r="AT420" s="190">
        <f t="shared" si="274"/>
        <v>-6.0721443299455462</v>
      </c>
      <c r="AU420" s="169">
        <f t="shared" si="275"/>
        <v>33.657681690652353</v>
      </c>
      <c r="AV420" s="225"/>
      <c r="AX420">
        <f t="shared" si="276"/>
        <v>0</v>
      </c>
      <c r="AY420">
        <f t="shared" si="277"/>
        <v>0</v>
      </c>
    </row>
    <row r="421" spans="14:51" x14ac:dyDescent="0.25">
      <c r="N421" s="170">
        <v>3</v>
      </c>
      <c r="O421" s="199">
        <f t="shared" si="278"/>
        <v>107151.93052376082</v>
      </c>
      <c r="P421" s="189" t="str">
        <f t="shared" si="244"/>
        <v>120,833333333333</v>
      </c>
      <c r="Q421" s="160" t="str">
        <f t="shared" si="245"/>
        <v>1+600,319429990018i</v>
      </c>
      <c r="R421" s="160">
        <f t="shared" si="253"/>
        <v>600.32026287935685</v>
      </c>
      <c r="S421" s="160">
        <f t="shared" si="254"/>
        <v>1.5691305485023677</v>
      </c>
      <c r="T421" s="160" t="str">
        <f t="shared" si="246"/>
        <v>1+0,0403953261301692i</v>
      </c>
      <c r="U421" s="160">
        <f t="shared" si="255"/>
        <v>1.0008155586186511</v>
      </c>
      <c r="V421" s="160">
        <f t="shared" si="256"/>
        <v>4.0373375490319177E-2</v>
      </c>
      <c r="W421" s="98" t="str">
        <f t="shared" si="247"/>
        <v>1-0,345783991674249i</v>
      </c>
      <c r="X421" s="160">
        <f t="shared" si="257"/>
        <v>1.0580957276627561</v>
      </c>
      <c r="Y421" s="160">
        <f t="shared" si="258"/>
        <v>-0.33291398379761777</v>
      </c>
      <c r="Z421" s="98" t="str">
        <f t="shared" si="248"/>
        <v>0,990511127095067+0,133934930936376i</v>
      </c>
      <c r="AA421" s="160">
        <f t="shared" si="259"/>
        <v>0.99952531664989441</v>
      </c>
      <c r="AB421" s="160">
        <f t="shared" si="260"/>
        <v>0.1344028171994692</v>
      </c>
      <c r="AC421" s="171" t="str">
        <f t="shared" si="261"/>
        <v>-0,0879813289826905-0,194254555601091i</v>
      </c>
      <c r="AD421" s="190">
        <f t="shared" si="262"/>
        <v>-13.422220719631282</v>
      </c>
      <c r="AE421" s="169">
        <f t="shared" si="263"/>
        <v>-114.36661430662944</v>
      </c>
      <c r="AF421" s="98" t="str">
        <f t="shared" si="249"/>
        <v>-0,0000375877424711299</v>
      </c>
      <c r="AG421" s="98" t="str">
        <f t="shared" si="250"/>
        <v>0,000682007756164359i</v>
      </c>
      <c r="AH421" s="98">
        <f t="shared" si="264"/>
        <v>6.8200775616435898E-4</v>
      </c>
      <c r="AI421" s="98">
        <f t="shared" si="265"/>
        <v>1.5707963267948966</v>
      </c>
      <c r="AJ421" s="98" t="str">
        <f t="shared" si="251"/>
        <v>1+0,622080047019388i</v>
      </c>
      <c r="AK421" s="98">
        <f t="shared" si="266"/>
        <v>1.1777026725365125</v>
      </c>
      <c r="AL421" s="98">
        <f t="shared" si="267"/>
        <v>0.55649681777999849</v>
      </c>
      <c r="AM421" s="98" t="str">
        <f t="shared" si="252"/>
        <v>1+48,4743913562031i</v>
      </c>
      <c r="AN421" s="98">
        <f t="shared" si="268"/>
        <v>48.48470498367849</v>
      </c>
      <c r="AO421" s="98">
        <f t="shared" si="269"/>
        <v>1.5501698031774132</v>
      </c>
      <c r="AP421" s="168" t="str">
        <f t="shared" si="270"/>
        <v>-1,9014658378789+1,23797732294023i</v>
      </c>
      <c r="AQ421" s="98">
        <f t="shared" si="271"/>
        <v>7.1165205149266173</v>
      </c>
      <c r="AR421" s="169">
        <f t="shared" si="272"/>
        <v>146.9332682794365</v>
      </c>
      <c r="AS421" s="168" t="str">
        <f t="shared" si="273"/>
        <v>0,407776226143753+0,260449511205107i</v>
      </c>
      <c r="AT421" s="190">
        <f t="shared" si="274"/>
        <v>-6.3057002047046691</v>
      </c>
      <c r="AU421" s="169">
        <f t="shared" si="275"/>
        <v>32.566653972807067</v>
      </c>
      <c r="AV421" s="225"/>
      <c r="AX421">
        <f t="shared" si="276"/>
        <v>0</v>
      </c>
      <c r="AY421">
        <f t="shared" si="277"/>
        <v>0</v>
      </c>
    </row>
    <row r="422" spans="14:51" x14ac:dyDescent="0.25">
      <c r="N422" s="170">
        <v>4</v>
      </c>
      <c r="O422" s="199">
        <f t="shared" si="278"/>
        <v>109647.81961431868</v>
      </c>
      <c r="P422" s="189" t="str">
        <f t="shared" si="244"/>
        <v>120,833333333333</v>
      </c>
      <c r="Q422" s="160" t="str">
        <f t="shared" si="245"/>
        <v>1+614,302665838762i</v>
      </c>
      <c r="R422" s="160">
        <f t="shared" si="253"/>
        <v>614.3034797692502</v>
      </c>
      <c r="S422" s="160">
        <f t="shared" si="254"/>
        <v>1.5691684661778107</v>
      </c>
      <c r="T422" s="160" t="str">
        <f t="shared" si="246"/>
        <v>1+0,0413362541498978i</v>
      </c>
      <c r="U422" s="160">
        <f t="shared" si="255"/>
        <v>1.000853978314092</v>
      </c>
      <c r="V422" s="160">
        <f t="shared" si="256"/>
        <v>4.1312734699298845E-2</v>
      </c>
      <c r="W422" s="98" t="str">
        <f t="shared" si="247"/>
        <v>1-0,353838335523126i</v>
      </c>
      <c r="X422" s="160">
        <f t="shared" si="257"/>
        <v>1.0607551874423129</v>
      </c>
      <c r="Y422" s="160">
        <f t="shared" si="258"/>
        <v>-0.34009017115132589</v>
      </c>
      <c r="Z422" s="98" t="str">
        <f t="shared" si="248"/>
        <v>0,990063930292418+0,137054676248801i</v>
      </c>
      <c r="AA422" s="160">
        <f t="shared" si="259"/>
        <v>0.99950516274191092</v>
      </c>
      <c r="AB422" s="160">
        <f t="shared" si="260"/>
        <v>0.1375559163916551</v>
      </c>
      <c r="AC422" s="171" t="str">
        <f t="shared" si="261"/>
        <v>-0,0879902439760112-0,189499946054363i</v>
      </c>
      <c r="AD422" s="190">
        <f t="shared" si="262"/>
        <v>-13.599907537366864</v>
      </c>
      <c r="AE422" s="169">
        <f t="shared" si="263"/>
        <v>-114.906790035741</v>
      </c>
      <c r="AF422" s="98" t="str">
        <f t="shared" si="249"/>
        <v>-0,0000375877424711299</v>
      </c>
      <c r="AG422" s="98" t="str">
        <f t="shared" si="250"/>
        <v>0,000697893757564109i</v>
      </c>
      <c r="AH422" s="98">
        <f t="shared" si="264"/>
        <v>6.9789375756410899E-4</v>
      </c>
      <c r="AI422" s="98">
        <f t="shared" si="265"/>
        <v>1.5707963267948966</v>
      </c>
      <c r="AJ422" s="98" t="str">
        <f t="shared" si="251"/>
        <v>1+0,636570152752621i</v>
      </c>
      <c r="AK422" s="98">
        <f t="shared" si="266"/>
        <v>1.1854204146105698</v>
      </c>
      <c r="AL422" s="98">
        <f t="shared" si="267"/>
        <v>0.56687619485108709</v>
      </c>
      <c r="AM422" s="98" t="str">
        <f t="shared" si="252"/>
        <v>1+49,6035049798774i</v>
      </c>
      <c r="AN422" s="98">
        <f t="shared" si="268"/>
        <v>49.613583888777093</v>
      </c>
      <c r="AO422" s="98">
        <f t="shared" si="269"/>
        <v>1.5506391915272151</v>
      </c>
      <c r="AP422" s="168" t="str">
        <f t="shared" si="270"/>
        <v>-1,87678724880762+1,24856557741209i</v>
      </c>
      <c r="AQ422" s="98">
        <f t="shared" si="271"/>
        <v>7.0597025339858979</v>
      </c>
      <c r="AR422" s="169">
        <f t="shared" si="272"/>
        <v>146.36546775068464</v>
      </c>
      <c r="AS422" s="168" t="str">
        <f t="shared" si="273"/>
        <v>0,401742077478575+0,245789492628021i</v>
      </c>
      <c r="AT422" s="190">
        <f t="shared" si="274"/>
        <v>-6.5402050033809704</v>
      </c>
      <c r="AU422" s="169">
        <f t="shared" si="275"/>
        <v>31.458677714943619</v>
      </c>
      <c r="AV422" s="225"/>
      <c r="AX422">
        <f t="shared" si="276"/>
        <v>0</v>
      </c>
      <c r="AY422">
        <f t="shared" si="277"/>
        <v>0</v>
      </c>
    </row>
    <row r="423" spans="14:51" x14ac:dyDescent="0.25">
      <c r="N423" s="170">
        <v>5</v>
      </c>
      <c r="O423" s="199">
        <f t="shared" si="278"/>
        <v>112201.84543019651</v>
      </c>
      <c r="P423" s="189" t="str">
        <f t="shared" si="244"/>
        <v>120,833333333333</v>
      </c>
      <c r="Q423" s="160" t="str">
        <f t="shared" si="245"/>
        <v>1+628,611613092191i</v>
      </c>
      <c r="R423" s="160">
        <f t="shared" si="253"/>
        <v>628.61240849538308</v>
      </c>
      <c r="S423" s="160">
        <f t="shared" si="254"/>
        <v>1.5692055207461089</v>
      </c>
      <c r="T423" s="160" t="str">
        <f t="shared" si="246"/>
        <v>1+0,0422990991987267i</v>
      </c>
      <c r="U423" s="160">
        <f t="shared" si="255"/>
        <v>1.0008942070933491</v>
      </c>
      <c r="V423" s="160">
        <f t="shared" si="256"/>
        <v>4.2273898869226528E-2</v>
      </c>
      <c r="W423" s="98" t="str">
        <f t="shared" si="247"/>
        <v>1-0,362080289141101i</v>
      </c>
      <c r="X423" s="160">
        <f t="shared" si="257"/>
        <v>1.0635328559967028</v>
      </c>
      <c r="Y423" s="160">
        <f t="shared" si="258"/>
        <v>-0.34739597409639766</v>
      </c>
      <c r="Z423" s="98" t="str">
        <f t="shared" si="248"/>
        <v>0,989595657753767+0,140247089764705i</v>
      </c>
      <c r="AA423" s="160">
        <f t="shared" si="259"/>
        <v>0.99948427302913567</v>
      </c>
      <c r="AB423" s="160">
        <f t="shared" si="260"/>
        <v>0.14078405582493436</v>
      </c>
      <c r="AC423" s="171" t="str">
        <f t="shared" si="261"/>
        <v>-0,0879981492991082-0,18484558080201i</v>
      </c>
      <c r="AD423" s="190">
        <f t="shared" si="262"/>
        <v>-13.776661425730843</v>
      </c>
      <c r="AE423" s="169">
        <f t="shared" si="263"/>
        <v>-115.45739289567368</v>
      </c>
      <c r="AF423" s="98" t="str">
        <f t="shared" si="249"/>
        <v>-0,0000375877424711299</v>
      </c>
      <c r="AG423" s="98" t="str">
        <f t="shared" si="250"/>
        <v>0,000714149791471837i</v>
      </c>
      <c r="AH423" s="98">
        <f t="shared" si="264"/>
        <v>7.1414979147183704E-4</v>
      </c>
      <c r="AI423" s="98">
        <f t="shared" si="265"/>
        <v>1.5707963267948966</v>
      </c>
      <c r="AJ423" s="98" t="str">
        <f t="shared" si="251"/>
        <v>1+0,651397776406847i</v>
      </c>
      <c r="AK423" s="98">
        <f t="shared" si="266"/>
        <v>1.1934483914722851</v>
      </c>
      <c r="AL423" s="98">
        <f t="shared" si="267"/>
        <v>0.577357212692447</v>
      </c>
      <c r="AM423" s="98" t="str">
        <f t="shared" si="252"/>
        <v>1+50,7589190384721i</v>
      </c>
      <c r="AN423" s="98">
        <f t="shared" si="268"/>
        <v>50.768768568423695</v>
      </c>
      <c r="AO423" s="98">
        <f t="shared" si="269"/>
        <v>1.5510979038778459</v>
      </c>
      <c r="AP423" s="168" t="str">
        <f t="shared" si="270"/>
        <v>-1,85162297739036+1,25877594528356i</v>
      </c>
      <c r="AQ423" s="98">
        <f t="shared" si="271"/>
        <v>7.0009982980268761</v>
      </c>
      <c r="AR423" s="169">
        <f t="shared" si="272"/>
        <v>145.79123194507491</v>
      </c>
      <c r="AS423" s="168" t="str">
        <f t="shared" si="273"/>
        <v>0,395618565915595+0,231494371114879i</v>
      </c>
      <c r="AT423" s="190">
        <f t="shared" si="274"/>
        <v>-6.7756631277039716</v>
      </c>
      <c r="AU423" s="169">
        <f t="shared" si="275"/>
        <v>30.333839049401199</v>
      </c>
      <c r="AV423" s="225"/>
      <c r="AX423">
        <f t="shared" si="276"/>
        <v>0</v>
      </c>
      <c r="AY423">
        <f t="shared" si="277"/>
        <v>0</v>
      </c>
    </row>
    <row r="424" spans="14:51" x14ac:dyDescent="0.25">
      <c r="N424" s="170">
        <v>6</v>
      </c>
      <c r="O424" s="199">
        <f t="shared" si="278"/>
        <v>114815.36214968823</v>
      </c>
      <c r="P424" s="189" t="str">
        <f t="shared" si="244"/>
        <v>120,833333333333</v>
      </c>
      <c r="Q424" s="160" t="str">
        <f t="shared" si="245"/>
        <v>1+643,253858543539i</v>
      </c>
      <c r="R424" s="160">
        <f t="shared" si="253"/>
        <v>643.25463584116608</v>
      </c>
      <c r="S424" s="160">
        <f t="shared" si="254"/>
        <v>1.5692417318536775</v>
      </c>
      <c r="T424" s="160" t="str">
        <f t="shared" si="246"/>
        <v>1+0,0432843717898454i</v>
      </c>
      <c r="U424" s="160">
        <f t="shared" si="255"/>
        <v>1.0009363300636267</v>
      </c>
      <c r="V424" s="160">
        <f t="shared" si="256"/>
        <v>4.325737051435042E-2</v>
      </c>
      <c r="W424" s="98" t="str">
        <f t="shared" si="247"/>
        <v>1-0,370514222521077i</v>
      </c>
      <c r="X424" s="160">
        <f t="shared" si="257"/>
        <v>1.066433677773915</v>
      </c>
      <c r="Y424" s="160">
        <f t="shared" si="258"/>
        <v>-0.35483214574348443</v>
      </c>
      <c r="Z424" s="98" t="str">
        <f t="shared" si="248"/>
        <v>0,989105316210278+0,143513864143992i</v>
      </c>
      <c r="AA424" s="160">
        <f t="shared" si="259"/>
        <v>0.99946263349710784</v>
      </c>
      <c r="AB424" s="160">
        <f t="shared" si="260"/>
        <v>0.14408909615110918</v>
      </c>
      <c r="AC424" s="171" t="str">
        <f t="shared" si="261"/>
        <v>-0,0880050562865308-0,180288976256718i</v>
      </c>
      <c r="AD424" s="190">
        <f t="shared" si="262"/>
        <v>-13.952448525728816</v>
      </c>
      <c r="AE424" s="169">
        <f t="shared" si="263"/>
        <v>-116.01854497769564</v>
      </c>
      <c r="AF424" s="98" t="str">
        <f t="shared" si="249"/>
        <v>-0,0000375877424711299</v>
      </c>
      <c r="AG424" s="98" t="str">
        <f t="shared" si="250"/>
        <v>0,000730784477051891i</v>
      </c>
      <c r="AH424" s="98">
        <f t="shared" si="264"/>
        <v>7.3078447705189099E-4</v>
      </c>
      <c r="AI424" s="98">
        <f t="shared" si="265"/>
        <v>1.5707963267948966</v>
      </c>
      <c r="AJ424" s="98" t="str">
        <f t="shared" si="251"/>
        <v>1+0,66657077978439i</v>
      </c>
      <c r="AK424" s="98">
        <f t="shared" si="266"/>
        <v>1.2017972393304828</v>
      </c>
      <c r="AL424" s="98">
        <f t="shared" si="267"/>
        <v>0.58793621738352175</v>
      </c>
      <c r="AM424" s="98" t="str">
        <f t="shared" si="252"/>
        <v>1+51,9412461478145i</v>
      </c>
      <c r="AN424" s="98">
        <f t="shared" si="268"/>
        <v>51.950871517115623</v>
      </c>
      <c r="AO424" s="98">
        <f t="shared" si="269"/>
        <v>1.5515461826720554</v>
      </c>
      <c r="AP424" s="168" t="str">
        <f t="shared" si="270"/>
        <v>-1,82598600351008+1,26858369925237i</v>
      </c>
      <c r="AQ424" s="98">
        <f t="shared" si="271"/>
        <v>6.9403712896721235</v>
      </c>
      <c r="AR424" s="169">
        <f t="shared" si="272"/>
        <v>145.21078410778088</v>
      </c>
      <c r="AS424" s="168" t="str">
        <f t="shared" si="273"/>
        <v>0,389407657451492+0,217563367375048i</v>
      </c>
      <c r="AT424" s="190">
        <f t="shared" si="274"/>
        <v>-7.0120772360566921</v>
      </c>
      <c r="AU424" s="169">
        <f t="shared" si="275"/>
        <v>29.192239130085223</v>
      </c>
      <c r="AV424" s="225"/>
      <c r="AX424">
        <f t="shared" si="276"/>
        <v>0</v>
      </c>
      <c r="AY424">
        <f t="shared" si="277"/>
        <v>0</v>
      </c>
    </row>
    <row r="425" spans="14:51" x14ac:dyDescent="0.25">
      <c r="N425" s="170">
        <v>7</v>
      </c>
      <c r="O425" s="199">
        <f t="shared" si="278"/>
        <v>117489.75549395311</v>
      </c>
      <c r="P425" s="189" t="str">
        <f t="shared" si="244"/>
        <v>120,833333333333</v>
      </c>
      <c r="Q425" s="160" t="str">
        <f t="shared" si="245"/>
        <v>1+658,23716570516i</v>
      </c>
      <c r="R425" s="160">
        <f t="shared" si="253"/>
        <v>658.23792530935373</v>
      </c>
      <c r="S425" s="160">
        <f t="shared" si="254"/>
        <v>1.5692771186997452</v>
      </c>
      <c r="T425" s="160" t="str">
        <f t="shared" si="246"/>
        <v>1+0,0442925943278236i</v>
      </c>
      <c r="U425" s="160">
        <f t="shared" si="255"/>
        <v>1.0009804363284476</v>
      </c>
      <c r="V425" s="160">
        <f t="shared" si="256"/>
        <v>4.4263663470179945E-2</v>
      </c>
      <c r="W425" s="98" t="str">
        <f t="shared" si="247"/>
        <v>1-0,37914460744617i</v>
      </c>
      <c r="X425" s="160">
        <f t="shared" si="257"/>
        <v>1.0694627779196013</v>
      </c>
      <c r="Y425" s="160">
        <f t="shared" si="258"/>
        <v>-0.36239933830646603</v>
      </c>
      <c r="Z425" s="98" t="str">
        <f t="shared" si="248"/>
        <v>0,988591865581794+0,14685673147368i</v>
      </c>
      <c r="AA425" s="160">
        <f t="shared" si="259"/>
        <v>0.99944023146640648</v>
      </c>
      <c r="AB425" s="160">
        <f t="shared" si="260"/>
        <v>0.14747294925866017</v>
      </c>
      <c r="AC425" s="171" t="str">
        <f t="shared" si="261"/>
        <v>-0,0880109736319678-0,175827699570585i</v>
      </c>
      <c r="AD425" s="190">
        <f t="shared" si="262"/>
        <v>-14.127234185164017</v>
      </c>
      <c r="AE425" s="169">
        <f t="shared" si="263"/>
        <v>-116.5903648534795</v>
      </c>
      <c r="AF425" s="98" t="str">
        <f t="shared" si="249"/>
        <v>-0,0000375877424711299</v>
      </c>
      <c r="AG425" s="98" t="str">
        <f t="shared" si="250"/>
        <v>0,000747806634234757i</v>
      </c>
      <c r="AH425" s="98">
        <f t="shared" si="264"/>
        <v>7.47806634234757E-4</v>
      </c>
      <c r="AI425" s="98">
        <f t="shared" si="265"/>
        <v>1.5707963267948966</v>
      </c>
      <c r="AJ425" s="98" t="str">
        <f t="shared" si="251"/>
        <v>1+0,682097207812485i</v>
      </c>
      <c r="AK425" s="98">
        <f t="shared" si="266"/>
        <v>1.2104778399068643</v>
      </c>
      <c r="AL425" s="98">
        <f t="shared" si="267"/>
        <v>0.59860934628951867</v>
      </c>
      <c r="AM425" s="98" t="str">
        <f t="shared" si="252"/>
        <v>1+53,1511131933884i</v>
      </c>
      <c r="AN425" s="98">
        <f t="shared" si="268"/>
        <v>53.160519501754173</v>
      </c>
      <c r="AO425" s="98">
        <f t="shared" si="269"/>
        <v>1.551984264872114</v>
      </c>
      <c r="AP425" s="168" t="str">
        <f t="shared" si="270"/>
        <v>-1,79989081963905+1,27796448881387i</v>
      </c>
      <c r="AQ425" s="98">
        <f t="shared" si="271"/>
        <v>6.8777860407710625</v>
      </c>
      <c r="AR425" s="169">
        <f t="shared" si="272"/>
        <v>144.62435912841116</v>
      </c>
      <c r="AS425" s="168" t="str">
        <f t="shared" si="273"/>
        <v>0,383111699668715+0,20399576336776i</v>
      </c>
      <c r="AT425" s="190">
        <f t="shared" si="274"/>
        <v>-7.2494481443929502</v>
      </c>
      <c r="AU425" s="169">
        <f t="shared" si="275"/>
        <v>28.033994274931626</v>
      </c>
      <c r="AV425" s="225"/>
      <c r="AX425">
        <f t="shared" si="276"/>
        <v>0</v>
      </c>
      <c r="AY425">
        <f t="shared" si="277"/>
        <v>0</v>
      </c>
    </row>
    <row r="426" spans="14:51" x14ac:dyDescent="0.25">
      <c r="N426" s="170">
        <v>8</v>
      </c>
      <c r="O426" s="199">
        <f t="shared" si="278"/>
        <v>120226.44346174144</v>
      </c>
      <c r="P426" s="189" t="str">
        <f t="shared" si="244"/>
        <v>120,833333333333</v>
      </c>
      <c r="Q426" s="160" t="str">
        <f t="shared" si="245"/>
        <v>1+673,569478924835i</v>
      </c>
      <c r="R426" s="160">
        <f t="shared" si="253"/>
        <v>673.57022123834565</v>
      </c>
      <c r="S426" s="160">
        <f t="shared" si="254"/>
        <v>1.5693117000465313</v>
      </c>
      <c r="T426" s="160" t="str">
        <f t="shared" si="246"/>
        <v>1+0,0453243013855962i</v>
      </c>
      <c r="U426" s="160">
        <f t="shared" si="255"/>
        <v>1.0010266191745814</v>
      </c>
      <c r="V426" s="160">
        <f t="shared" si="256"/>
        <v>4.5293303129934626E-2</v>
      </c>
      <c r="W426" s="98" t="str">
        <f t="shared" si="247"/>
        <v>1-0,387976019860704i</v>
      </c>
      <c r="X426" s="160">
        <f t="shared" si="257"/>
        <v>1.0726254667809045</v>
      </c>
      <c r="Y426" s="160">
        <f t="shared" si="258"/>
        <v>-0.37009809648753428</v>
      </c>
      <c r="Z426" s="98" t="str">
        <f t="shared" si="248"/>
        <v>0,988054216770695+0,150277464186273i</v>
      </c>
      <c r="AA426" s="160">
        <f t="shared" si="259"/>
        <v>0.99941705584836227</v>
      </c>
      <c r="AB426" s="160">
        <f t="shared" si="260"/>
        <v>0.15093758001014648</v>
      </c>
      <c r="AC426" s="171" t="str">
        <f t="shared" si="261"/>
        <v>-0,0880159073563593-0,17145936727507i</v>
      </c>
      <c r="AD426" s="190">
        <f t="shared" si="262"/>
        <v>-14.300982977316018</v>
      </c>
      <c r="AE426" s="169">
        <f t="shared" si="263"/>
        <v>-117.17296728267537</v>
      </c>
      <c r="AF426" s="98" t="str">
        <f t="shared" si="249"/>
        <v>-0,0000375877424711299</v>
      </c>
      <c r="AG426" s="98" t="str">
        <f t="shared" si="250"/>
        <v>0,000765225288393484i</v>
      </c>
      <c r="AH426" s="98">
        <f t="shared" si="264"/>
        <v>7.6522528839348403E-4</v>
      </c>
      <c r="AI426" s="98">
        <f t="shared" si="265"/>
        <v>1.5707963267948966</v>
      </c>
      <c r="AJ426" s="98" t="str">
        <f t="shared" si="251"/>
        <v>1+0,697985292808786i</v>
      </c>
      <c r="AK426" s="98">
        <f t="shared" si="266"/>
        <v>1.2195013197932041</v>
      </c>
      <c r="AL426" s="98">
        <f t="shared" si="267"/>
        <v>0.6093725317043488</v>
      </c>
      <c r="AM426" s="98" t="str">
        <f t="shared" si="252"/>
        <v>1+54,3891616627155i</v>
      </c>
      <c r="AN426" s="98">
        <f t="shared" si="268"/>
        <v>54.39835389396449</v>
      </c>
      <c r="AO426" s="98">
        <f t="shared" si="269"/>
        <v>1.5524123820820173</v>
      </c>
      <c r="AP426" s="168" t="str">
        <f t="shared" si="270"/>
        <v>-1,77335342908228+1,28689445080657i</v>
      </c>
      <c r="AQ426" s="98">
        <f t="shared" si="271"/>
        <v>6.813208246759368</v>
      </c>
      <c r="AR426" s="169">
        <f t="shared" si="272"/>
        <v>144.03220333928903</v>
      </c>
      <c r="AS426" s="168" t="str">
        <f t="shared" si="273"/>
        <v>0,376733419409281+0,190790874145919i</v>
      </c>
      <c r="AT426" s="190">
        <f t="shared" si="274"/>
        <v>-7.4877747305566578</v>
      </c>
      <c r="AU426" s="169">
        <f t="shared" si="275"/>
        <v>26.859236056613579</v>
      </c>
      <c r="AV426" s="225"/>
      <c r="AX426">
        <f t="shared" si="276"/>
        <v>0</v>
      </c>
      <c r="AY426">
        <f t="shared" si="277"/>
        <v>0</v>
      </c>
    </row>
    <row r="427" spans="14:51" x14ac:dyDescent="0.25">
      <c r="N427" s="170">
        <v>9</v>
      </c>
      <c r="O427" s="199">
        <f t="shared" si="278"/>
        <v>123026.87708123829</v>
      </c>
      <c r="P427" s="189" t="str">
        <f t="shared" si="244"/>
        <v>120,833333333333</v>
      </c>
      <c r="Q427" s="160" t="str">
        <f t="shared" si="245"/>
        <v>1+689,258927597983i</v>
      </c>
      <c r="R427" s="160">
        <f t="shared" si="253"/>
        <v>689.25965301439305</v>
      </c>
      <c r="S427" s="160">
        <f t="shared" si="254"/>
        <v>1.5693454942291925</v>
      </c>
      <c r="T427" s="160" t="str">
        <f t="shared" si="246"/>
        <v>1+0,0463800399879014i</v>
      </c>
      <c r="U427" s="160">
        <f t="shared" si="255"/>
        <v>1.0010749762676516</v>
      </c>
      <c r="V427" s="160">
        <f t="shared" si="256"/>
        <v>4.634682668457589E-2</v>
      </c>
      <c r="W427" s="98" t="str">
        <f t="shared" si="247"/>
        <v>1-0,397013142296436i</v>
      </c>
      <c r="X427" s="160">
        <f t="shared" si="257"/>
        <v>1.0759272443599941</v>
      </c>
      <c r="Y427" s="160">
        <f t="shared" si="258"/>
        <v>-0.37792885075822519</v>
      </c>
      <c r="Z427" s="98" t="str">
        <f t="shared" si="248"/>
        <v>0,987491229351767+0,153777875999535i</v>
      </c>
      <c r="AA427" s="160">
        <f t="shared" si="259"/>
        <v>0.99939309743143234</v>
      </c>
      <c r="AB427" s="160">
        <f t="shared" si="260"/>
        <v>0.15448500805636908</v>
      </c>
      <c r="AC427" s="171" t="str">
        <f t="shared" si="261"/>
        <v>-0,0880198607655197-0,167181643942853i</v>
      </c>
      <c r="AD427" s="190">
        <f t="shared" si="262"/>
        <v>-14.47365872347236</v>
      </c>
      <c r="AE427" s="169">
        <f t="shared" si="263"/>
        <v>-117.76646291870487</v>
      </c>
      <c r="AF427" s="98" t="str">
        <f t="shared" si="249"/>
        <v>-0,0000375877424711299</v>
      </c>
      <c r="AG427" s="98" t="str">
        <f t="shared" si="250"/>
        <v>0,000783049675129071i</v>
      </c>
      <c r="AH427" s="98">
        <f t="shared" si="264"/>
        <v>7.8304967512907099E-4</v>
      </c>
      <c r="AI427" s="98">
        <f t="shared" si="265"/>
        <v>1.5707963267948966</v>
      </c>
      <c r="AJ427" s="98" t="str">
        <f t="shared" si="251"/>
        <v>1+0,71424345884626i</v>
      </c>
      <c r="AK427" s="98">
        <f t="shared" si="266"/>
        <v>1.2288790495832651</v>
      </c>
      <c r="AL427" s="98">
        <f t="shared" si="267"/>
        <v>0.62022150547046695</v>
      </c>
      <c r="AM427" s="98" t="str">
        <f t="shared" si="252"/>
        <v>1+55,6560479854818i</v>
      </c>
      <c r="AN427" s="98">
        <f t="shared" si="268"/>
        <v>55.665031010161599</v>
      </c>
      <c r="AO427" s="98">
        <f t="shared" si="269"/>
        <v>1.552830760667079</v>
      </c>
      <c r="AP427" s="168" t="str">
        <f t="shared" si="270"/>
        <v>-1,74639133485714+1,29535032183544i</v>
      </c>
      <c r="AQ427" s="98">
        <f t="shared" si="271"/>
        <v>6.7466048805476806</v>
      </c>
      <c r="AR427" s="169">
        <f t="shared" si="272"/>
        <v>143.43457425760514</v>
      </c>
      <c r="AS427" s="168" t="str">
        <f t="shared" si="273"/>
        <v>0,370275918422588+0,177948019358444i</v>
      </c>
      <c r="AT427" s="190">
        <f t="shared" si="274"/>
        <v>-7.7270538429246773</v>
      </c>
      <c r="AU427" s="169">
        <f t="shared" si="275"/>
        <v>25.668111338900324</v>
      </c>
      <c r="AV427" s="225"/>
      <c r="AX427">
        <f t="shared" si="276"/>
        <v>0</v>
      </c>
      <c r="AY427">
        <f t="shared" si="277"/>
        <v>0</v>
      </c>
    </row>
    <row r="428" spans="14:51" x14ac:dyDescent="0.25">
      <c r="N428" s="170">
        <v>10</v>
      </c>
      <c r="O428" s="199">
        <f t="shared" si="278"/>
        <v>125892.54117941685</v>
      </c>
      <c r="P428" s="189" t="str">
        <f t="shared" si="244"/>
        <v>120,833333333333</v>
      </c>
      <c r="Q428" s="160" t="str">
        <f t="shared" si="245"/>
        <v>1+705,313830477964i</v>
      </c>
      <c r="R428" s="160">
        <f t="shared" si="253"/>
        <v>705.31453938189736</v>
      </c>
      <c r="S428" s="160">
        <f t="shared" si="254"/>
        <v>1.5693785191655427</v>
      </c>
      <c r="T428" s="160" t="str">
        <f t="shared" si="246"/>
        <v>1+0,0474603699013207i</v>
      </c>
      <c r="U428" s="160">
        <f t="shared" si="255"/>
        <v>1.0011256098568102</v>
      </c>
      <c r="V428" s="160">
        <f t="shared" si="256"/>
        <v>4.7424783366368933E-2</v>
      </c>
      <c r="W428" s="98" t="str">
        <f t="shared" si="247"/>
        <v>1-0,406260766355305i</v>
      </c>
      <c r="X428" s="160">
        <f t="shared" si="257"/>
        <v>1.0793738047032639</v>
      </c>
      <c r="Y428" s="160">
        <f t="shared" si="258"/>
        <v>-0.38589191056022187</v>
      </c>
      <c r="Z428" s="98" t="str">
        <f t="shared" si="248"/>
        <v>0,986901709153214+0,157359822878143i</v>
      </c>
      <c r="AA428" s="160">
        <f t="shared" si="259"/>
        <v>0.99936834920152229</v>
      </c>
      <c r="AB428" s="160">
        <f t="shared" si="260"/>
        <v>0.1581173097313196</v>
      </c>
      <c r="AC428" s="171" t="str">
        <f t="shared" si="261"/>
        <v>-0,0880228343967171-0,162992240870736i</v>
      </c>
      <c r="AD428" s="190">
        <f t="shared" si="262"/>
        <v>-14.645224519535384</v>
      </c>
      <c r="AE428" s="169">
        <f t="shared" si="263"/>
        <v>-118.37095801436932</v>
      </c>
      <c r="AF428" s="98" t="str">
        <f t="shared" si="249"/>
        <v>-0,0000375877424711299</v>
      </c>
      <c r="AG428" s="98" t="str">
        <f t="shared" si="250"/>
        <v>0,000801289245167299i</v>
      </c>
      <c r="AH428" s="98">
        <f t="shared" si="264"/>
        <v>8.0128924516729896E-4</v>
      </c>
      <c r="AI428" s="98">
        <f t="shared" si="265"/>
        <v>1.5707963267948966</v>
      </c>
      <c r="AJ428" s="98" t="str">
        <f t="shared" si="251"/>
        <v>1+0,730880326219746i</v>
      </c>
      <c r="AK428" s="98">
        <f t="shared" si="266"/>
        <v>1.2386226427992839</v>
      </c>
      <c r="AL428" s="98">
        <f t="shared" si="267"/>
        <v>0.63115180458809128</v>
      </c>
      <c r="AM428" s="98" t="str">
        <f t="shared" si="252"/>
        <v>1+56,9524438815849i</v>
      </c>
      <c r="AN428" s="98">
        <f t="shared" si="268"/>
        <v>56.961222459538888</v>
      </c>
      <c r="AO428" s="98">
        <f t="shared" si="269"/>
        <v>1.5532396218709608</v>
      </c>
      <c r="AP428" s="168" t="str">
        <f t="shared" si="270"/>
        <v>-1,71902351884113+1,30330955168572i</v>
      </c>
      <c r="AQ428" s="98">
        <f t="shared" si="271"/>
        <v>6.6779443052148082</v>
      </c>
      <c r="AR428" s="169">
        <f t="shared" si="272"/>
        <v>142.83174027073866</v>
      </c>
      <c r="AS428" s="168" t="str">
        <f t="shared" si="273"/>
        <v>0,363742666900504+0,165466494609722i</v>
      </c>
      <c r="AT428" s="190">
        <f t="shared" si="274"/>
        <v>-7.967280214320585</v>
      </c>
      <c r="AU428" s="169">
        <f t="shared" si="275"/>
        <v>24.460782256369402</v>
      </c>
      <c r="AV428" s="225"/>
      <c r="AX428">
        <f t="shared" si="276"/>
        <v>0</v>
      </c>
      <c r="AY428">
        <f t="shared" si="277"/>
        <v>0</v>
      </c>
    </row>
    <row r="429" spans="14:51" x14ac:dyDescent="0.25">
      <c r="N429" s="170">
        <v>11</v>
      </c>
      <c r="O429" s="199">
        <f t="shared" si="278"/>
        <v>128824.95516931375</v>
      </c>
      <c r="P429" s="189" t="str">
        <f t="shared" si="244"/>
        <v>120,833333333333</v>
      </c>
      <c r="Q429" s="160" t="str">
        <f t="shared" si="245"/>
        <v>1+721,742700086797i</v>
      </c>
      <c r="R429" s="160">
        <f t="shared" si="253"/>
        <v>721.74339285412248</v>
      </c>
      <c r="S429" s="160">
        <f t="shared" si="254"/>
        <v>1.5694107923655525</v>
      </c>
      <c r="T429" s="160" t="str">
        <f t="shared" si="246"/>
        <v>1+0,048565863931074i</v>
      </c>
      <c r="U429" s="160">
        <f t="shared" si="255"/>
        <v>1.0011786269888963</v>
      </c>
      <c r="V429" s="160">
        <f t="shared" si="256"/>
        <v>4.85277346959119E-2</v>
      </c>
      <c r="W429" s="98" t="str">
        <f t="shared" si="247"/>
        <v>1-0,415723795249993i</v>
      </c>
      <c r="X429" s="160">
        <f t="shared" si="257"/>
        <v>1.082971040211629</v>
      </c>
      <c r="Y429" s="160">
        <f t="shared" si="258"/>
        <v>-0.39398745745254321</v>
      </c>
      <c r="Z429" s="98" t="str">
        <f t="shared" si="248"/>
        <v>0,986284405723656+0,161025204017745i</v>
      </c>
      <c r="AA429" s="160">
        <f t="shared" si="259"/>
        <v>0.99934280669979403</v>
      </c>
      <c r="AB429" s="160">
        <f t="shared" si="260"/>
        <v>0.16183662003219526</v>
      </c>
      <c r="AC429" s="171" t="str">
        <f t="shared" si="261"/>
        <v>-0,0880248259535899-0,158888914782672i</v>
      </c>
      <c r="AD429" s="190">
        <f t="shared" si="262"/>
        <v>-14.815642766923933</v>
      </c>
      <c r="AE429" s="169">
        <f t="shared" si="263"/>
        <v>-118.98655412905021</v>
      </c>
      <c r="AF429" s="98" t="str">
        <f t="shared" si="249"/>
        <v>-0,0000375877424711299</v>
      </c>
      <c r="AG429" s="98" t="str">
        <f t="shared" si="250"/>
        <v>0,000819953669369634i</v>
      </c>
      <c r="AH429" s="98">
        <f t="shared" si="264"/>
        <v>8.1995366936963405E-4</v>
      </c>
      <c r="AI429" s="98">
        <f t="shared" si="265"/>
        <v>1.5707963267948966</v>
      </c>
      <c r="AJ429" s="98" t="str">
        <f t="shared" si="251"/>
        <v>1+0,747904716016538i</v>
      </c>
      <c r="AK429" s="98">
        <f t="shared" si="266"/>
        <v>1.2487439546359287</v>
      </c>
      <c r="AL429" s="98">
        <f t="shared" si="267"/>
        <v>0.64215877781828146</v>
      </c>
      <c r="AM429" s="98" t="str">
        <f t="shared" si="252"/>
        <v>1+58,2790367172888i</v>
      </c>
      <c r="AN429" s="98">
        <f t="shared" si="268"/>
        <v>58.287615500165181</v>
      </c>
      <c r="AO429" s="98">
        <f t="shared" si="269"/>
        <v>1.5536391819301851</v>
      </c>
      <c r="AP429" s="168" t="str">
        <f t="shared" si="270"/>
        <v>-1,69127041091222+1,31075041677983i</v>
      </c>
      <c r="AQ429" s="98">
        <f t="shared" si="271"/>
        <v>6.6071963847551274</v>
      </c>
      <c r="AR429" s="169">
        <f t="shared" si="272"/>
        <v>142.22398026449093</v>
      </c>
      <c r="AS429" s="168" t="str">
        <f t="shared" si="273"/>
        <v>0,357137494834087+0,153345542888246i</v>
      </c>
      <c r="AT429" s="190">
        <f t="shared" si="274"/>
        <v>-8.208446382168809</v>
      </c>
      <c r="AU429" s="169">
        <f t="shared" si="275"/>
        <v>23.237426135440653</v>
      </c>
      <c r="AV429" s="225"/>
      <c r="AX429">
        <f t="shared" si="276"/>
        <v>0</v>
      </c>
      <c r="AY429">
        <f t="shared" si="277"/>
        <v>0</v>
      </c>
    </row>
    <row r="430" spans="14:51" x14ac:dyDescent="0.25">
      <c r="N430" s="170">
        <v>12</v>
      </c>
      <c r="O430" s="199">
        <f t="shared" si="278"/>
        <v>131825.67385564081</v>
      </c>
      <c r="P430" s="189" t="str">
        <f t="shared" si="244"/>
        <v>120,833333333333</v>
      </c>
      <c r="Q430" s="160" t="str">
        <f t="shared" si="245"/>
        <v>1+738,554247228608i</v>
      </c>
      <c r="R430" s="160">
        <f t="shared" si="253"/>
        <v>738.55492422663849</v>
      </c>
      <c r="S430" s="160">
        <f t="shared" si="254"/>
        <v>1.5694423309406302</v>
      </c>
      <c r="T430" s="160" t="str">
        <f t="shared" si="246"/>
        <v>1+0,0496971082247285i</v>
      </c>
      <c r="U430" s="160">
        <f t="shared" si="255"/>
        <v>1.0012341397325106</v>
      </c>
      <c r="V430" s="160">
        <f t="shared" si="256"/>
        <v>4.9656254732560599E-2</v>
      </c>
      <c r="W430" s="98" t="str">
        <f t="shared" si="247"/>
        <v>1-0,425407246403676i</v>
      </c>
      <c r="X430" s="160">
        <f t="shared" si="257"/>
        <v>1.0867250458569351</v>
      </c>
      <c r="Y430" s="160">
        <f t="shared" si="258"/>
        <v>-0.4022155382346766</v>
      </c>
      <c r="Z430" s="98" t="str">
        <f t="shared" si="248"/>
        <v>0,985638009679757+0,164775962851936i</v>
      </c>
      <c r="AA430" s="160">
        <f t="shared" si="259"/>
        <v>0.99931646842191857</v>
      </c>
      <c r="AB430" s="160">
        <f t="shared" si="260"/>
        <v>0.16564513468895137</v>
      </c>
      <c r="AC430" s="171" t="str">
        <f t="shared" si="261"/>
        <v>-0,0880258302287227-0,154869466552076i</v>
      </c>
      <c r="AD430" s="190">
        <f t="shared" si="262"/>
        <v>-14.984875207980313</v>
      </c>
      <c r="AE430" s="169">
        <f t="shared" si="263"/>
        <v>-119.61334783945284</v>
      </c>
      <c r="AF430" s="98" t="str">
        <f t="shared" si="249"/>
        <v>-0,0000375877424711299</v>
      </c>
      <c r="AG430" s="98" t="str">
        <f t="shared" si="250"/>
        <v>0,000839052843860835i</v>
      </c>
      <c r="AH430" s="98">
        <f t="shared" si="264"/>
        <v>8.3905284386083501E-4</v>
      </c>
      <c r="AI430" s="98">
        <f t="shared" si="265"/>
        <v>1.5707963267948966</v>
      </c>
      <c r="AJ430" s="98" t="str">
        <f t="shared" si="251"/>
        <v>1+0,765325654793449i</v>
      </c>
      <c r="AK430" s="98">
        <f t="shared" si="266"/>
        <v>1.2592550805476312</v>
      </c>
      <c r="AL430" s="98">
        <f t="shared" si="267"/>
        <v>0.65323759327589503</v>
      </c>
      <c r="AM430" s="98" t="str">
        <f t="shared" si="252"/>
        <v>1+59,6365298696743i</v>
      </c>
      <c r="AN430" s="98">
        <f t="shared" si="268"/>
        <v>59.644913403378787</v>
      </c>
      <c r="AO430" s="98">
        <f t="shared" si="269"/>
        <v>1.5540296521861783</v>
      </c>
      <c r="AP430" s="168" t="str">
        <f t="shared" si="270"/>
        <v>-1,6631538479089+1,31765213268039i</v>
      </c>
      <c r="AQ430" s="98">
        <f t="shared" si="271"/>
        <v>6.5343325921139792</v>
      </c>
      <c r="AR430" s="169">
        <f t="shared" si="272"/>
        <v>141.61158319445914</v>
      </c>
      <c r="AS430" s="168" t="str">
        <f t="shared" si="273"/>
        <v>0,350464581149693+0,141584326287845i</v>
      </c>
      <c r="AT430" s="190">
        <f t="shared" si="274"/>
        <v>-8.4505426158663361</v>
      </c>
      <c r="AU430" s="169">
        <f t="shared" si="275"/>
        <v>21.998235355006209</v>
      </c>
      <c r="AV430" s="225"/>
      <c r="AX430">
        <f t="shared" si="276"/>
        <v>0</v>
      </c>
      <c r="AY430">
        <f t="shared" si="277"/>
        <v>0</v>
      </c>
    </row>
    <row r="431" spans="14:51" x14ac:dyDescent="0.25">
      <c r="N431" s="170">
        <v>13</v>
      </c>
      <c r="O431" s="199">
        <f t="shared" si="278"/>
        <v>134896.28825916545</v>
      </c>
      <c r="P431" s="189" t="str">
        <f t="shared" si="244"/>
        <v>120,833333333333</v>
      </c>
      <c r="Q431" s="160" t="str">
        <f t="shared" si="245"/>
        <v>1+755,757385608222i</v>
      </c>
      <c r="R431" s="160">
        <f t="shared" si="253"/>
        <v>755.75804719590963</v>
      </c>
      <c r="S431" s="160">
        <f t="shared" si="254"/>
        <v>1.569473151612695</v>
      </c>
      <c r="T431" s="160" t="str">
        <f t="shared" si="246"/>
        <v>1+0,0508547025829829i</v>
      </c>
      <c r="U431" s="160">
        <f t="shared" si="255"/>
        <v>1.0012922654124536</v>
      </c>
      <c r="V431" s="160">
        <f t="shared" si="256"/>
        <v>5.0810930328163306E-2</v>
      </c>
      <c r="W431" s="98" t="str">
        <f t="shared" si="247"/>
        <v>1-0,435316254110334i</v>
      </c>
      <c r="X431" s="160">
        <f t="shared" si="257"/>
        <v>1.0906421232891443</v>
      </c>
      <c r="Y431" s="160">
        <f t="shared" si="258"/>
        <v>-0.4105760580781001</v>
      </c>
      <c r="Z431" s="98" t="str">
        <f t="shared" si="248"/>
        <v>0,984961149928843+0,1686140880827i</v>
      </c>
      <c r="AA431" s="160">
        <f t="shared" si="259"/>
        <v>0.99928933626308114</v>
      </c>
      <c r="AB431" s="160">
        <f t="shared" si="260"/>
        <v>0.16954511232811531</v>
      </c>
      <c r="AC431" s="171" t="str">
        <f t="shared" si="261"/>
        <v>-0,0880258390131067-0,15093173994251i</v>
      </c>
      <c r="AD431" s="190">
        <f t="shared" si="262"/>
        <v>-15.152882966086931</v>
      </c>
      <c r="AE431" s="169">
        <f t="shared" si="263"/>
        <v>-120.25143045603211</v>
      </c>
      <c r="AF431" s="98" t="str">
        <f t="shared" si="249"/>
        <v>-0,0000375877424711299</v>
      </c>
      <c r="AG431" s="98" t="str">
        <f t="shared" si="250"/>
        <v>0,00085859689527603i</v>
      </c>
      <c r="AH431" s="98">
        <f t="shared" si="264"/>
        <v>8.5859689527602995E-4</v>
      </c>
      <c r="AI431" s="98">
        <f t="shared" si="265"/>
        <v>1.5707963267948966</v>
      </c>
      <c r="AJ431" s="98" t="str">
        <f t="shared" si="251"/>
        <v>1+0,783152379362816i</v>
      </c>
      <c r="AK431" s="98">
        <f t="shared" si="266"/>
        <v>1.2701683547080049</v>
      </c>
      <c r="AL431" s="98">
        <f t="shared" si="267"/>
        <v>0.66438324699951745</v>
      </c>
      <c r="AM431" s="98" t="str">
        <f t="shared" si="252"/>
        <v>1+61,0256430995796i</v>
      </c>
      <c r="AN431" s="98">
        <f t="shared" si="268"/>
        <v>61.033835826672949</v>
      </c>
      <c r="AO431" s="98">
        <f t="shared" si="269"/>
        <v>1.5544112391948952</v>
      </c>
      <c r="AP431" s="168" t="str">
        <f t="shared" si="270"/>
        <v>-1,63469702234825+1,32399496460431i</v>
      </c>
      <c r="AQ431" s="98">
        <f t="shared" si="271"/>
        <v>6.4593261137348543</v>
      </c>
      <c r="AR431" s="169">
        <f t="shared" si="272"/>
        <v>140.99484760129775</v>
      </c>
      <c r="AS431" s="168" t="str">
        <f t="shared" si="273"/>
        <v>0,343728440607282+0,130181898253439i</v>
      </c>
      <c r="AT431" s="190">
        <f t="shared" si="274"/>
        <v>-8.6935568523520832</v>
      </c>
      <c r="AU431" s="169">
        <f t="shared" si="275"/>
        <v>20.743417145265731</v>
      </c>
      <c r="AV431" s="225"/>
      <c r="AX431">
        <f t="shared" si="276"/>
        <v>0</v>
      </c>
      <c r="AY431">
        <f t="shared" si="277"/>
        <v>0</v>
      </c>
    </row>
    <row r="432" spans="14:51" x14ac:dyDescent="0.25">
      <c r="N432" s="170">
        <v>14</v>
      </c>
      <c r="O432" s="199">
        <f t="shared" si="278"/>
        <v>138038.42646028858</v>
      </c>
      <c r="P432" s="189" t="str">
        <f t="shared" si="244"/>
        <v>120,833333333333</v>
      </c>
      <c r="Q432" s="160" t="str">
        <f t="shared" si="245"/>
        <v>1+773,361236557318i</v>
      </c>
      <c r="R432" s="160">
        <f t="shared" si="253"/>
        <v>773.36188308544399</v>
      </c>
      <c r="S432" s="160">
        <f t="shared" si="254"/>
        <v>1.5695032707230405</v>
      </c>
      <c r="T432" s="160" t="str">
        <f t="shared" si="246"/>
        <v>1+0,0520392607776884i</v>
      </c>
      <c r="U432" s="160">
        <f t="shared" si="255"/>
        <v>1.0013531268550013</v>
      </c>
      <c r="V432" s="160">
        <f t="shared" si="256"/>
        <v>5.1992361384003635E-2</v>
      </c>
      <c r="W432" s="98" t="str">
        <f t="shared" si="247"/>
        <v>1-0,445456072257013i</v>
      </c>
      <c r="X432" s="160">
        <f t="shared" si="257"/>
        <v>1.0947287848187082</v>
      </c>
      <c r="Y432" s="160">
        <f t="shared" si="258"/>
        <v>-0.4190687737015702</v>
      </c>
      <c r="Z432" s="98" t="str">
        <f t="shared" si="248"/>
        <v>0,984252390760634+0,172541614734837i</v>
      </c>
      <c r="AA432" s="160">
        <f t="shared" si="259"/>
        <v>0.99926141601351182</v>
      </c>
      <c r="AB432" s="160">
        <f t="shared" si="260"/>
        <v>0.17353887673577764</v>
      </c>
      <c r="AC432" s="171" t="str">
        <f t="shared" si="261"/>
        <v>-0,0880248409916398-0,147073620365949i</v>
      </c>
      <c r="AD432" s="190">
        <f t="shared" si="262"/>
        <v>-15.319626590680809</v>
      </c>
      <c r="AE432" s="169">
        <f t="shared" si="263"/>
        <v>-120.90088774741064</v>
      </c>
      <c r="AF432" s="98" t="str">
        <f t="shared" si="249"/>
        <v>-0,0000375877424711299</v>
      </c>
      <c r="AG432" s="98" t="str">
        <f t="shared" si="250"/>
        <v>0,000878596186129974i</v>
      </c>
      <c r="AH432" s="98">
        <f t="shared" si="264"/>
        <v>8.78596186129974E-4</v>
      </c>
      <c r="AI432" s="98">
        <f t="shared" si="265"/>
        <v>1.5707963267948966</v>
      </c>
      <c r="AJ432" s="98" t="str">
        <f t="shared" si="251"/>
        <v>1+0,801394341689969i</v>
      </c>
      <c r="AK432" s="98">
        <f t="shared" si="266"/>
        <v>1.2814963483727524</v>
      </c>
      <c r="AL432" s="98">
        <f t="shared" si="267"/>
        <v>0.6755905724763277</v>
      </c>
      <c r="AM432" s="98" t="str">
        <f t="shared" si="252"/>
        <v>1+62,4471129332262i</v>
      </c>
      <c r="AN432" s="98">
        <f t="shared" si="268"/>
        <v>62.455119195267791</v>
      </c>
      <c r="AO432" s="98">
        <f t="shared" si="269"/>
        <v>1.5547841448340645</v>
      </c>
      <c r="AP432" s="168" t="str">
        <f t="shared" si="270"/>
        <v>-1,60592442095827+1,32976033488953i</v>
      </c>
      <c r="AQ432" s="98">
        <f t="shared" si="271"/>
        <v>6.3821519498430748</v>
      </c>
      <c r="AR432" s="169">
        <f t="shared" si="272"/>
        <v>140.37408107112799</v>
      </c>
      <c r="AS432" s="168" t="str">
        <f t="shared" si="273"/>
        <v>0,336933908470683+0,119137176588783i</v>
      </c>
      <c r="AT432" s="190">
        <f t="shared" si="274"/>
        <v>-8.9374746408377277</v>
      </c>
      <c r="AU432" s="169">
        <f t="shared" si="275"/>
        <v>19.47319332371741</v>
      </c>
      <c r="AV432" s="225"/>
      <c r="AX432">
        <f t="shared" si="276"/>
        <v>0</v>
      </c>
      <c r="AY432">
        <f t="shared" si="277"/>
        <v>0</v>
      </c>
    </row>
    <row r="433" spans="14:51" x14ac:dyDescent="0.25">
      <c r="N433" s="170">
        <v>15</v>
      </c>
      <c r="O433" s="199">
        <f t="shared" si="278"/>
        <v>141253.75446227577</v>
      </c>
      <c r="P433" s="189" t="str">
        <f t="shared" si="244"/>
        <v>120,833333333333</v>
      </c>
      <c r="Q433" s="160" t="str">
        <f t="shared" si="245"/>
        <v>1+791,375133870683i</v>
      </c>
      <c r="R433" s="160">
        <f t="shared" si="253"/>
        <v>791.37576568204406</v>
      </c>
      <c r="S433" s="160">
        <f t="shared" si="254"/>
        <v>1.5695327042409992</v>
      </c>
      <c r="T433" s="160" t="str">
        <f t="shared" si="246"/>
        <v>1+0,0532514108772793i</v>
      </c>
      <c r="U433" s="160">
        <f t="shared" si="255"/>
        <v>1.0014168526445022</v>
      </c>
      <c r="V433" s="160">
        <f t="shared" si="256"/>
        <v>5.3201161110842235E-2</v>
      </c>
      <c r="W433" s="98" t="str">
        <f t="shared" si="247"/>
        <v>1-0,455832077109511i</v>
      </c>
      <c r="X433" s="160">
        <f t="shared" si="257"/>
        <v>1.0989917572584296</v>
      </c>
      <c r="Y433" s="160">
        <f t="shared" si="258"/>
        <v>-0.42769328662849004</v>
      </c>
      <c r="Z433" s="98" t="str">
        <f t="shared" si="248"/>
        <v>0,98351022880191+0,176560625234965i</v>
      </c>
      <c r="AA433" s="160">
        <f t="shared" si="259"/>
        <v>0.99923271790977053</v>
      </c>
      <c r="AB433" s="160">
        <f t="shared" si="260"/>
        <v>0.1776288192249777</v>
      </c>
      <c r="AC433" s="171" t="str">
        <f t="shared" si="261"/>
        <v>-0,0880228216237257-0,143293033657768i</v>
      </c>
      <c r="AD433" s="190">
        <f t="shared" si="262"/>
        <v>-15.48506610734294</v>
      </c>
      <c r="AE433" s="169">
        <f t="shared" si="263"/>
        <v>-121.56179967529225</v>
      </c>
      <c r="AF433" s="98" t="str">
        <f t="shared" si="249"/>
        <v>-0,0000375877424711299</v>
      </c>
      <c r="AG433" s="98" t="str">
        <f t="shared" si="250"/>
        <v>0,000899061320311401i</v>
      </c>
      <c r="AH433" s="98">
        <f t="shared" si="264"/>
        <v>8.9906132031140104E-4</v>
      </c>
      <c r="AI433" s="98">
        <f t="shared" si="265"/>
        <v>1.5707963267948966</v>
      </c>
      <c r="AJ433" s="98" t="str">
        <f t="shared" si="251"/>
        <v>1+0,820061213904795i</v>
      </c>
      <c r="AK433" s="98">
        <f t="shared" si="266"/>
        <v>1.2932518681799792</v>
      </c>
      <c r="AL433" s="98">
        <f t="shared" si="267"/>
        <v>0.68685425109059284</v>
      </c>
      <c r="AM433" s="98" t="str">
        <f t="shared" si="252"/>
        <v>1+63,9016930527353i</v>
      </c>
      <c r="AN433" s="98">
        <f t="shared" si="268"/>
        <v>63.909517092573928</v>
      </c>
      <c r="AO433" s="98">
        <f t="shared" si="269"/>
        <v>1.5551485664081082</v>
      </c>
      <c r="AP433" s="168" t="str">
        <f t="shared" si="270"/>
        <v>-1,57686175320364+1,33493092634661i</v>
      </c>
      <c r="AQ433" s="98">
        <f t="shared" si="271"/>
        <v>6.3027870096984184</v>
      </c>
      <c r="AR433" s="169">
        <f t="shared" si="272"/>
        <v>139.74959964289505</v>
      </c>
      <c r="AS433" s="168" t="str">
        <f t="shared" si="273"/>
        <v>0,3300861229873+0,108448917465654i</v>
      </c>
      <c r="AT433" s="190">
        <f t="shared" si="274"/>
        <v>-9.1822790976445088</v>
      </c>
      <c r="AU433" s="169">
        <f t="shared" si="275"/>
        <v>18.187799967602807</v>
      </c>
      <c r="AV433" s="225"/>
      <c r="AX433">
        <f t="shared" si="276"/>
        <v>0</v>
      </c>
      <c r="AY433">
        <f t="shared" si="277"/>
        <v>0</v>
      </c>
    </row>
    <row r="434" spans="14:51" x14ac:dyDescent="0.25">
      <c r="N434" s="170">
        <v>16</v>
      </c>
      <c r="O434" s="199">
        <f t="shared" si="278"/>
        <v>144543.97707459307</v>
      </c>
      <c r="P434" s="189" t="str">
        <f t="shared" si="244"/>
        <v>120,833333333333</v>
      </c>
      <c r="Q434" s="160" t="str">
        <f t="shared" si="245"/>
        <v>1+809,808628755114i</v>
      </c>
      <c r="R434" s="160">
        <f t="shared" si="253"/>
        <v>809.80924618470374</v>
      </c>
      <c r="S434" s="160">
        <f t="shared" si="254"/>
        <v>1.5695614677724077</v>
      </c>
      <c r="T434" s="160" t="str">
        <f t="shared" si="246"/>
        <v>1+0,0544917955797831i</v>
      </c>
      <c r="U434" s="160">
        <f t="shared" si="255"/>
        <v>1.0014835773918156</v>
      </c>
      <c r="V434" s="160">
        <f t="shared" si="256"/>
        <v>5.4437956291925875E-2</v>
      </c>
      <c r="W434" s="98" t="str">
        <f t="shared" si="247"/>
        <v>1-0,466449770162943i</v>
      </c>
      <c r="X434" s="160">
        <f t="shared" si="257"/>
        <v>1.1034379856090972</v>
      </c>
      <c r="Y434" s="160">
        <f t="shared" si="258"/>
        <v>-0.4364490365674677</v>
      </c>
      <c r="Z434" s="98" t="str">
        <f t="shared" si="248"/>
        <v>0,982733089827653+0,180673250515648i</v>
      </c>
      <c r="AA434" s="160">
        <f t="shared" si="259"/>
        <v>0.99920325724754122</v>
      </c>
      <c r="AB434" s="160">
        <f t="shared" si="260"/>
        <v>0.18181740111289257</v>
      </c>
      <c r="AC434" s="171" t="str">
        <f t="shared" si="261"/>
        <v>-0,0880197630079319-0,139587944867642i</v>
      </c>
      <c r="AD434" s="190">
        <f t="shared" si="262"/>
        <v>-15.649161073120856</v>
      </c>
      <c r="AE434" s="169">
        <f t="shared" si="263"/>
        <v>-122.23424014254549</v>
      </c>
      <c r="AF434" s="98" t="str">
        <f t="shared" si="249"/>
        <v>-0,0000375877424711299</v>
      </c>
      <c r="AG434" s="98" t="str">
        <f t="shared" si="250"/>
        <v>0,000920003148705339i</v>
      </c>
      <c r="AH434" s="98">
        <f t="shared" si="264"/>
        <v>9.2000314870533902E-4</v>
      </c>
      <c r="AI434" s="98">
        <f t="shared" si="265"/>
        <v>1.5707963267948966</v>
      </c>
      <c r="AJ434" s="98" t="str">
        <f t="shared" si="251"/>
        <v>1+0,839162893430025i</v>
      </c>
      <c r="AK434" s="98">
        <f t="shared" si="266"/>
        <v>1.3054479544240174</v>
      </c>
      <c r="AL434" s="98">
        <f t="shared" si="267"/>
        <v>0.69816882345514719</v>
      </c>
      <c r="AM434" s="98" t="str">
        <f t="shared" si="252"/>
        <v>1+65,3901546957397i</v>
      </c>
      <c r="AN434" s="98">
        <f t="shared" si="268"/>
        <v>65.397800659752832</v>
      </c>
      <c r="AO434" s="98">
        <f t="shared" si="269"/>
        <v>1.5555046967507755</v>
      </c>
      <c r="AP434" s="168" t="str">
        <f t="shared" si="270"/>
        <v>-1,54753587011016+1,33949078043459i</v>
      </c>
      <c r="AQ434" s="98">
        <f t="shared" si="271"/>
        <v>6.2212102010683932</v>
      </c>
      <c r="AR434" s="169">
        <f t="shared" si="272"/>
        <v>139.12172716500228</v>
      </c>
      <c r="AS434" s="168" t="str">
        <f t="shared" si="273"/>
        <v>0,323190505743388+0,0981156906724731i</v>
      </c>
      <c r="AT434" s="190">
        <f t="shared" si="274"/>
        <v>-9.4279508720524703</v>
      </c>
      <c r="AU434" s="169">
        <f t="shared" si="275"/>
        <v>16.887487022456778</v>
      </c>
      <c r="AV434" s="225"/>
      <c r="AX434">
        <f t="shared" si="276"/>
        <v>0</v>
      </c>
      <c r="AY434">
        <f t="shared" si="277"/>
        <v>0</v>
      </c>
    </row>
    <row r="435" spans="14:51" x14ac:dyDescent="0.25">
      <c r="N435" s="170">
        <v>17</v>
      </c>
      <c r="O435" s="199">
        <f t="shared" si="278"/>
        <v>147910.83881682079</v>
      </c>
      <c r="P435" s="189" t="str">
        <f t="shared" si="244"/>
        <v>120,833333333333</v>
      </c>
      <c r="Q435" s="160" t="str">
        <f t="shared" si="245"/>
        <v>1+828,671494893593i</v>
      </c>
      <c r="R435" s="160">
        <f t="shared" si="253"/>
        <v>828.67209826877979</v>
      </c>
      <c r="S435" s="160">
        <f t="shared" si="254"/>
        <v>1.5695895765678805</v>
      </c>
      <c r="T435" s="160" t="str">
        <f t="shared" si="246"/>
        <v>1+0,0557610725535872i</v>
      </c>
      <c r="U435" s="160">
        <f t="shared" si="255"/>
        <v>1.001553442015116</v>
      </c>
      <c r="V435" s="160">
        <f t="shared" si="256"/>
        <v>5.5703387548819046E-2</v>
      </c>
      <c r="W435" s="98" t="str">
        <f t="shared" si="247"/>
        <v>1-0,477314781058707i</v>
      </c>
      <c r="X435" s="160">
        <f t="shared" si="257"/>
        <v>1.1080746365733318</v>
      </c>
      <c r="Y435" s="160">
        <f t="shared" si="258"/>
        <v>-0.44533529495992275</v>
      </c>
      <c r="Z435" s="98" t="str">
        <f t="shared" si="248"/>
        <v>0,981919325421905+0,184881671145247i</v>
      </c>
      <c r="AA435" s="160">
        <f t="shared" si="259"/>
        <v>0.99917305506226906</v>
      </c>
      <c r="AB435" s="160">
        <f t="shared" si="260"/>
        <v>0.18610715631352132</v>
      </c>
      <c r="AC435" s="171" t="str">
        <f t="shared" si="261"/>
        <v>-0,0880156437295657-0,135956357065612i</v>
      </c>
      <c r="AD435" s="190">
        <f t="shared" si="262"/>
        <v>-15.811870637220499</v>
      </c>
      <c r="AE435" s="169">
        <f t="shared" si="263"/>
        <v>-122.91827675729998</v>
      </c>
      <c r="AF435" s="98" t="str">
        <f t="shared" si="249"/>
        <v>-0,0000375877424711299</v>
      </c>
      <c r="AG435" s="98" t="str">
        <f t="shared" si="250"/>
        <v>0,0009414327749464i</v>
      </c>
      <c r="AH435" s="98">
        <f t="shared" si="264"/>
        <v>9.4143277494639999E-4</v>
      </c>
      <c r="AI435" s="98">
        <f t="shared" si="265"/>
        <v>1.5707963267948966</v>
      </c>
      <c r="AJ435" s="98" t="str">
        <f t="shared" si="251"/>
        <v>1+0,858709508228984i</v>
      </c>
      <c r="AK435" s="98">
        <f t="shared" si="266"/>
        <v>1.3180978793408566</v>
      </c>
      <c r="AL435" s="98">
        <f t="shared" si="267"/>
        <v>0.70952870157607262</v>
      </c>
      <c r="AM435" s="98" t="str">
        <f t="shared" si="252"/>
        <v>1+66,9132870643048i</v>
      </c>
      <c r="AN435" s="98">
        <f t="shared" si="268"/>
        <v>66.920759004587353</v>
      </c>
      <c r="AO435" s="98">
        <f t="shared" si="269"/>
        <v>1.5558527243255404</v>
      </c>
      <c r="AP435" s="168" t="str">
        <f t="shared" si="270"/>
        <v>-1,51797467381973+1,34342538922388i</v>
      </c>
      <c r="AQ435" s="98">
        <f t="shared" si="271"/>
        <v>6.1374025132015255</v>
      </c>
      <c r="AR435" s="169">
        <f t="shared" si="272"/>
        <v>138.49079460407825</v>
      </c>
      <c r="AS435" s="168" t="str">
        <f t="shared" si="273"/>
        <v>0,316252739989752+0,0881358563352089i</v>
      </c>
      <c r="AT435" s="190">
        <f t="shared" si="274"/>
        <v>-9.6744681240189649</v>
      </c>
      <c r="AU435" s="169">
        <f t="shared" si="275"/>
        <v>15.572517846778243</v>
      </c>
      <c r="AV435" s="225"/>
      <c r="AX435">
        <f t="shared" si="276"/>
        <v>0</v>
      </c>
      <c r="AY435">
        <f t="shared" si="277"/>
        <v>0</v>
      </c>
    </row>
    <row r="436" spans="14:51" x14ac:dyDescent="0.25">
      <c r="N436" s="170">
        <v>18</v>
      </c>
      <c r="O436" s="199">
        <f t="shared" si="278"/>
        <v>151356.12484362084</v>
      </c>
      <c r="P436" s="189" t="str">
        <f t="shared" si="244"/>
        <v>120,833333333333</v>
      </c>
      <c r="Q436" s="160" t="str">
        <f t="shared" si="245"/>
        <v>1+847,973733627431i</v>
      </c>
      <c r="R436" s="160">
        <f t="shared" si="253"/>
        <v>847.97432326813123</v>
      </c>
      <c r="S436" s="160">
        <f t="shared" si="254"/>
        <v>1.5696170455308955</v>
      </c>
      <c r="T436" s="160" t="str">
        <f t="shared" si="246"/>
        <v>1+0,0570599147861446i</v>
      </c>
      <c r="U436" s="160">
        <f t="shared" si="255"/>
        <v>1.001626594033626</v>
      </c>
      <c r="V436" s="160">
        <f t="shared" si="256"/>
        <v>5.6998109609896215E-2</v>
      </c>
      <c r="W436" s="98" t="str">
        <f t="shared" si="247"/>
        <v>1-0,488432870569398i</v>
      </c>
      <c r="X436" s="160">
        <f t="shared" si="257"/>
        <v>1.1129091018823873</v>
      </c>
      <c r="Y436" s="160">
        <f t="shared" si="258"/>
        <v>-0.45435115874115395</v>
      </c>
      <c r="Z436" s="98" t="str">
        <f t="shared" si="248"/>
        <v>0,981067209481258+0,189188118484087i</v>
      </c>
      <c r="AA436" s="160">
        <f t="shared" si="259"/>
        <v>0.99914213888459902</v>
      </c>
      <c r="AB436" s="160">
        <f t="shared" si="260"/>
        <v>0.19050069405179199</v>
      </c>
      <c r="AC436" s="171" t="str">
        <f t="shared" si="261"/>
        <v>-0,0880104386899055-0,132396310162528i</v>
      </c>
      <c r="AD436" s="190">
        <f t="shared" si="262"/>
        <v>-15.973153607183404</v>
      </c>
      <c r="AE436" s="169">
        <f t="shared" si="263"/>
        <v>-123.61397061607015</v>
      </c>
      <c r="AF436" s="98" t="str">
        <f t="shared" si="249"/>
        <v>-0,0000375877424711299</v>
      </c>
      <c r="AG436" s="98" t="str">
        <f t="shared" si="250"/>
        <v>0,000963361561306076i</v>
      </c>
      <c r="AH436" s="98">
        <f t="shared" si="264"/>
        <v>9.6336156130607598E-4</v>
      </c>
      <c r="AI436" s="98">
        <f t="shared" si="265"/>
        <v>1.5707963267948966</v>
      </c>
      <c r="AJ436" s="98" t="str">
        <f t="shared" si="251"/>
        <v>1+0,878711422175572i</v>
      </c>
      <c r="AK436" s="98">
        <f t="shared" si="266"/>
        <v>1.3312151454448737</v>
      </c>
      <c r="AL436" s="98">
        <f t="shared" si="267"/>
        <v>0.72092818179188456</v>
      </c>
      <c r="AM436" s="98" t="str">
        <f t="shared" si="252"/>
        <v>1+68,4718977433736i</v>
      </c>
      <c r="AN436" s="98">
        <f t="shared" si="268"/>
        <v>68.479199619877349</v>
      </c>
      <c r="AO436" s="98">
        <f t="shared" si="269"/>
        <v>1.5561928333238026</v>
      </c>
      <c r="AP436" s="168" t="str">
        <f t="shared" si="270"/>
        <v>-1,48820701843273+1,34672178014925i</v>
      </c>
      <c r="AQ436" s="98">
        <f t="shared" si="271"/>
        <v>6.0513470926174406</v>
      </c>
      <c r="AR436" s="169">
        <f t="shared" si="272"/>
        <v>137.85713930924427</v>
      </c>
      <c r="AS436" s="168" t="str">
        <f t="shared" si="273"/>
        <v>0,309278747060933+0,0785075433342848i</v>
      </c>
      <c r="AT436" s="190">
        <f t="shared" si="274"/>
        <v>-9.921806514565958</v>
      </c>
      <c r="AU436" s="169">
        <f t="shared" si="275"/>
        <v>14.2431686931741</v>
      </c>
      <c r="AV436" s="225"/>
      <c r="AX436">
        <f t="shared" si="276"/>
        <v>0</v>
      </c>
      <c r="AY436">
        <f t="shared" si="277"/>
        <v>0</v>
      </c>
    </row>
    <row r="437" spans="14:51" x14ac:dyDescent="0.25">
      <c r="N437" s="170">
        <v>19</v>
      </c>
      <c r="O437" s="199">
        <f t="shared" si="278"/>
        <v>154881.66189124843</v>
      </c>
      <c r="P437" s="189" t="str">
        <f t="shared" si="244"/>
        <v>120,833333333333</v>
      </c>
      <c r="Q437" s="160" t="str">
        <f t="shared" si="245"/>
        <v>1+867,725579259098i</v>
      </c>
      <c r="R437" s="160">
        <f t="shared" si="253"/>
        <v>867.72615547794658</v>
      </c>
      <c r="S437" s="160">
        <f t="shared" si="254"/>
        <v>1.5696438892256945</v>
      </c>
      <c r="T437" s="160" t="str">
        <f t="shared" si="246"/>
        <v>1+0,0583890109407988i</v>
      </c>
      <c r="U437" s="160">
        <f t="shared" si="255"/>
        <v>1.0017031878748539</v>
      </c>
      <c r="V437" s="160">
        <f t="shared" si="256"/>
        <v>5.832279158130739E-2</v>
      </c>
      <c r="W437" s="98" t="str">
        <f t="shared" si="247"/>
        <v>1-0,499809933653238i</v>
      </c>
      <c r="X437" s="160">
        <f t="shared" si="257"/>
        <v>1.1179490014211086</v>
      </c>
      <c r="Y437" s="160">
        <f t="shared" si="258"/>
        <v>-0.4634955443636205</v>
      </c>
      <c r="Z437" s="98" t="str">
        <f t="shared" si="248"/>
        <v>0,980174934553558+0,193594875867547i</v>
      </c>
      <c r="AA437" s="160">
        <f t="shared" si="259"/>
        <v>0.99911054357825813</v>
      </c>
      <c r="AB437" s="160">
        <f t="shared" si="260"/>
        <v>0.19500070170527131</v>
      </c>
      <c r="AC437" s="171" t="str">
        <f t="shared" si="261"/>
        <v>-0,0880041189157057-0,128905879744204i</v>
      </c>
      <c r="AD437" s="190">
        <f t="shared" si="262"/>
        <v>-16.132968520634932</v>
      </c>
      <c r="AE437" s="169">
        <f t="shared" si="263"/>
        <v>-124.32137610905801</v>
      </c>
      <c r="AF437" s="98" t="str">
        <f t="shared" si="249"/>
        <v>-0,0000375877424711299</v>
      </c>
      <c r="AG437" s="98" t="str">
        <f t="shared" si="250"/>
        <v>0,000985801134717155i</v>
      </c>
      <c r="AH437" s="98">
        <f t="shared" si="264"/>
        <v>9.8580113471715509E-4</v>
      </c>
      <c r="AI437" s="98">
        <f t="shared" si="265"/>
        <v>1.5707963267948966</v>
      </c>
      <c r="AJ437" s="98" t="str">
        <f t="shared" si="251"/>
        <v>1+0,89917924054932i</v>
      </c>
      <c r="AK437" s="98">
        <f t="shared" si="266"/>
        <v>1.3448134839578505</v>
      </c>
      <c r="AL437" s="98">
        <f t="shared" si="267"/>
        <v>0.73236145842006994</v>
      </c>
      <c r="AM437" s="98" t="str">
        <f t="shared" si="252"/>
        <v>1+70,0668131289587i</v>
      </c>
      <c r="AN437" s="98">
        <f t="shared" si="268"/>
        <v>70.073948811583463</v>
      </c>
      <c r="AO437" s="98">
        <f t="shared" si="269"/>
        <v>1.5565252037609392</v>
      </c>
      <c r="AP437" s="168" t="str">
        <f t="shared" si="270"/>
        <v>-1,45826260281531+1,34936859261337i</v>
      </c>
      <c r="AQ437" s="98">
        <f t="shared" si="271"/>
        <v>5.9630293110779542</v>
      </c>
      <c r="AR437" s="169">
        <f t="shared" si="272"/>
        <v>137.22110423572647</v>
      </c>
      <c r="AS437" s="168" t="str">
        <f t="shared" si="273"/>
        <v>0,30227466103851+0,0692286296285148i</v>
      </c>
      <c r="AT437" s="190">
        <f t="shared" si="274"/>
        <v>-10.169939209556977</v>
      </c>
      <c r="AU437" s="169">
        <f t="shared" si="275"/>
        <v>12.899728126668466</v>
      </c>
      <c r="AV437" s="225"/>
      <c r="AX437">
        <f t="shared" si="276"/>
        <v>0</v>
      </c>
      <c r="AY437">
        <f t="shared" si="277"/>
        <v>0</v>
      </c>
    </row>
    <row r="438" spans="14:51" x14ac:dyDescent="0.25">
      <c r="N438" s="170">
        <v>20</v>
      </c>
      <c r="O438" s="199">
        <f t="shared" si="278"/>
        <v>158489.31924611164</v>
      </c>
      <c r="P438" s="189" t="str">
        <f t="shared" si="244"/>
        <v>120,833333333333</v>
      </c>
      <c r="Q438" s="160" t="str">
        <f t="shared" si="245"/>
        <v>1+887,937504478592i</v>
      </c>
      <c r="R438" s="160">
        <f t="shared" si="253"/>
        <v>887.93806758110645</v>
      </c>
      <c r="S438" s="160">
        <f t="shared" si="254"/>
        <v>1.5696701218850049</v>
      </c>
      <c r="T438" s="160" t="str">
        <f t="shared" si="246"/>
        <v>1+0,0597490657219237i</v>
      </c>
      <c r="U438" s="160">
        <f t="shared" si="255"/>
        <v>1.0017833851959428</v>
      </c>
      <c r="V438" s="160">
        <f t="shared" si="256"/>
        <v>5.9678117220219713E-2</v>
      </c>
      <c r="W438" s="98" t="str">
        <f t="shared" si="247"/>
        <v>1-0,511452002579667i</v>
      </c>
      <c r="X438" s="160">
        <f t="shared" si="257"/>
        <v>1.1232021861369179</v>
      </c>
      <c r="Y438" s="160">
        <f t="shared" si="258"/>
        <v>-0.47276718213330815</v>
      </c>
      <c r="Z438" s="98" t="str">
        <f t="shared" si="248"/>
        <v>0,979240608004053+0,198104279816723i</v>
      </c>
      <c r="AA438" s="160">
        <f t="shared" si="259"/>
        <v>0.99907831226878796</v>
      </c>
      <c r="AB438" s="160">
        <f t="shared" si="260"/>
        <v>0.19960994777993826</v>
      </c>
      <c r="AC438" s="171" t="str">
        <f t="shared" si="261"/>
        <v>-0,0879966513474567-0,125483175918561i</v>
      </c>
      <c r="AD438" s="190">
        <f t="shared" si="262"/>
        <v>-16.291273722664645</v>
      </c>
      <c r="AE438" s="169">
        <f t="shared" si="263"/>
        <v>-125.04054075093907</v>
      </c>
      <c r="AF438" s="98" t="str">
        <f t="shared" si="249"/>
        <v>-0,0000375877424711299</v>
      </c>
      <c r="AG438" s="98" t="str">
        <f t="shared" si="250"/>
        <v>0,00100876339293848i</v>
      </c>
      <c r="AH438" s="98">
        <f t="shared" si="264"/>
        <v>1.0087633929384799E-3</v>
      </c>
      <c r="AI438" s="98">
        <f t="shared" si="265"/>
        <v>1.5707963267948966</v>
      </c>
      <c r="AJ438" s="98" t="str">
        <f t="shared" si="251"/>
        <v>1+0,920123815658449i</v>
      </c>
      <c r="AK438" s="98">
        <f t="shared" si="266"/>
        <v>1.3589068533721742</v>
      </c>
      <c r="AL438" s="98">
        <f t="shared" si="267"/>
        <v>0.74382263803594018</v>
      </c>
      <c r="AM438" s="98" t="str">
        <f t="shared" si="252"/>
        <v>1+71,6988788663085i</v>
      </c>
      <c r="AN438" s="98">
        <f t="shared" si="268"/>
        <v>71.70585213694612</v>
      </c>
      <c r="AO438" s="98">
        <f t="shared" si="269"/>
        <v>1.5568500115702513</v>
      </c>
      <c r="AP438" s="168" t="str">
        <f t="shared" si="270"/>
        <v>-1,42817185616327+1,3513561455742i</v>
      </c>
      <c r="AQ438" s="98">
        <f t="shared" si="271"/>
        <v>5.8724368251578181</v>
      </c>
      <c r="AR438" s="169">
        <f t="shared" si="272"/>
        <v>136.58303713212234</v>
      </c>
      <c r="AS438" s="168" t="str">
        <f t="shared" si="273"/>
        <v>0,295246801834765+0,0602967246805376i</v>
      </c>
      <c r="AT438" s="190">
        <f t="shared" si="274"/>
        <v>-10.418836897506836</v>
      </c>
      <c r="AU438" s="169">
        <f t="shared" si="275"/>
        <v>11.542496381183287</v>
      </c>
      <c r="AV438" s="225"/>
      <c r="AX438">
        <f t="shared" si="276"/>
        <v>0</v>
      </c>
      <c r="AY438">
        <f t="shared" si="277"/>
        <v>0</v>
      </c>
    </row>
    <row r="439" spans="14:51" x14ac:dyDescent="0.25">
      <c r="N439" s="170">
        <v>21</v>
      </c>
      <c r="O439" s="199">
        <f t="shared" si="278"/>
        <v>162181.00973589328</v>
      </c>
      <c r="P439" s="189" t="str">
        <f t="shared" si="244"/>
        <v>120,833333333333</v>
      </c>
      <c r="Q439" s="160" t="str">
        <f t="shared" si="245"/>
        <v>1+908,620225916201i</v>
      </c>
      <c r="R439" s="160">
        <f t="shared" si="253"/>
        <v>908.6207762009451</v>
      </c>
      <c r="S439" s="160">
        <f t="shared" si="254"/>
        <v>1.5696957574175854</v>
      </c>
      <c r="T439" s="160" t="str">
        <f t="shared" si="246"/>
        <v>1+0,0611408002485665i</v>
      </c>
      <c r="U439" s="160">
        <f t="shared" si="255"/>
        <v>1.0018673552197592</v>
      </c>
      <c r="V439" s="160">
        <f t="shared" si="256"/>
        <v>6.1064785210103799E-2</v>
      </c>
      <c r="W439" s="98" t="str">
        <f t="shared" si="247"/>
        <v>1-0,523365250127729i</v>
      </c>
      <c r="X439" s="160">
        <f t="shared" si="257"/>
        <v>1.1286767407195297</v>
      </c>
      <c r="Y439" s="160">
        <f t="shared" si="258"/>
        <v>-0.4821646109117787</v>
      </c>
      <c r="Z439" s="98" t="str">
        <f t="shared" si="248"/>
        <v>0,978262248000865+0,202718721277278i</v>
      </c>
      <c r="AA439" s="160">
        <f t="shared" si="259"/>
        <v>0.99904549737236714</v>
      </c>
      <c r="AB439" s="160">
        <f t="shared" si="260"/>
        <v>0.20433128502667636</v>
      </c>
      <c r="AC439" s="171" t="str">
        <f t="shared" si="261"/>
        <v>-0,0879879986047351-0,122126342175193i</v>
      </c>
      <c r="AD439" s="190">
        <f t="shared" si="262"/>
        <v>-16.448027448863318</v>
      </c>
      <c r="AE439" s="169">
        <f t="shared" si="263"/>
        <v>-125.77150504053249</v>
      </c>
      <c r="AF439" s="98" t="str">
        <f t="shared" si="249"/>
        <v>-0,0000375877424711299</v>
      </c>
      <c r="AG439" s="98" t="str">
        <f t="shared" si="250"/>
        <v>0,0010322605108633i</v>
      </c>
      <c r="AH439" s="98">
        <f t="shared" si="264"/>
        <v>1.0322605108632999E-3</v>
      </c>
      <c r="AI439" s="98">
        <f t="shared" si="265"/>
        <v>1.5707963267948966</v>
      </c>
      <c r="AJ439" s="98" t="str">
        <f t="shared" si="251"/>
        <v>1+0,941556252593916i</v>
      </c>
      <c r="AK439" s="98">
        <f t="shared" si="266"/>
        <v>1.3735094381906148</v>
      </c>
      <c r="AL439" s="98">
        <f t="shared" si="267"/>
        <v>0.75530575430156566</v>
      </c>
      <c r="AM439" s="98" t="str">
        <f t="shared" si="252"/>
        <v>1+73,3689602982799i</v>
      </c>
      <c r="AN439" s="98">
        <f t="shared" si="268"/>
        <v>73.3757748528121</v>
      </c>
      <c r="AO439" s="98">
        <f t="shared" si="269"/>
        <v>1.5571674286948429</v>
      </c>
      <c r="AP439" s="168" t="str">
        <f t="shared" si="270"/>
        <v>-1,39796581721923+1,35267649533901i</v>
      </c>
      <c r="AQ439" s="98">
        <f t="shared" si="271"/>
        <v>5.7795596269000162</v>
      </c>
      <c r="AR439" s="169">
        <f t="shared" si="272"/>
        <v>135.94328969602839</v>
      </c>
      <c r="AS439" s="168" t="str">
        <f t="shared" si="273"/>
        <v>0,288201646897066+0,0517091541583922i</v>
      </c>
      <c r="AT439" s="190">
        <f t="shared" si="274"/>
        <v>-10.668467821963297</v>
      </c>
      <c r="AU439" s="169">
        <f t="shared" si="275"/>
        <v>10.171784655495879</v>
      </c>
      <c r="AV439" s="225"/>
      <c r="AX439">
        <f t="shared" si="276"/>
        <v>0</v>
      </c>
      <c r="AY439">
        <f t="shared" si="277"/>
        <v>0</v>
      </c>
    </row>
    <row r="440" spans="14:51" x14ac:dyDescent="0.25">
      <c r="N440" s="170">
        <v>22</v>
      </c>
      <c r="O440" s="199">
        <f t="shared" si="278"/>
        <v>165958.69074375604</v>
      </c>
      <c r="P440" s="189" t="str">
        <f t="shared" si="244"/>
        <v>120,833333333333</v>
      </c>
      <c r="Q440" s="160" t="str">
        <f t="shared" si="245"/>
        <v>1+929,784709824607i</v>
      </c>
      <c r="R440" s="160">
        <f t="shared" si="253"/>
        <v>929.78524758334845</v>
      </c>
      <c r="S440" s="160">
        <f t="shared" si="254"/>
        <v>1.5697208094155999</v>
      </c>
      <c r="T440" s="160" t="str">
        <f t="shared" si="246"/>
        <v>1+0,0625649524367957i</v>
      </c>
      <c r="U440" s="160">
        <f t="shared" si="255"/>
        <v>1.0019552750863776</v>
      </c>
      <c r="V440" s="160">
        <f t="shared" si="256"/>
        <v>6.2483509437818503E-2</v>
      </c>
      <c r="W440" s="98" t="str">
        <f t="shared" si="247"/>
        <v>1-0,535555992858971i</v>
      </c>
      <c r="X440" s="160">
        <f t="shared" si="257"/>
        <v>1.1343809860391518</v>
      </c>
      <c r="Y440" s="160">
        <f t="shared" si="258"/>
        <v>-0.49168617323792291</v>
      </c>
      <c r="Z440" s="98" t="str">
        <f t="shared" si="248"/>
        <v>0,977237779311255+0,207440646887155i</v>
      </c>
      <c r="AA440" s="160">
        <f t="shared" si="259"/>
        <v>0.99901216173485807</v>
      </c>
      <c r="AB440" s="160">
        <f t="shared" si="260"/>
        <v>0.20916765370543131</v>
      </c>
      <c r="AC440" s="171" t="str">
        <f t="shared" si="261"/>
        <v>-0,087978118726823-0,118833554256766i</v>
      </c>
      <c r="AD440" s="190">
        <f t="shared" si="262"/>
        <v>-16.603187914010533</v>
      </c>
      <c r="AE440" s="169">
        <f t="shared" si="263"/>
        <v>-126.51430235286682</v>
      </c>
      <c r="AF440" s="98" t="str">
        <f t="shared" si="249"/>
        <v>-0,0000375877424711299</v>
      </c>
      <c r="AG440" s="98" t="str">
        <f t="shared" si="250"/>
        <v>0,00105630494697457i</v>
      </c>
      <c r="AH440" s="98">
        <f t="shared" si="264"/>
        <v>1.05630494697457E-3</v>
      </c>
      <c r="AI440" s="98">
        <f t="shared" si="265"/>
        <v>1.5707963267948966</v>
      </c>
      <c r="AJ440" s="98" t="str">
        <f t="shared" si="251"/>
        <v>1+0,963487915117485i</v>
      </c>
      <c r="AK440" s="98">
        <f t="shared" si="266"/>
        <v>1.38863564788516</v>
      </c>
      <c r="AL440" s="98">
        <f t="shared" si="267"/>
        <v>0.7668047832562056</v>
      </c>
      <c r="AM440" s="98" t="str">
        <f t="shared" si="252"/>
        <v>1+75,0779429241549i</v>
      </c>
      <c r="AN440" s="98">
        <f t="shared" si="268"/>
        <v>75.084602374406032</v>
      </c>
      <c r="AO440" s="98">
        <f t="shared" si="269"/>
        <v>1.5574776231774812</v>
      </c>
      <c r="AP440" s="168" t="str">
        <f t="shared" si="270"/>
        <v>-1,36767600813326+1,35332348289003i</v>
      </c>
      <c r="AQ440" s="98">
        <f t="shared" si="271"/>
        <v>5.684390085109559</v>
      </c>
      <c r="AR440" s="169">
        <f t="shared" si="272"/>
        <v>135.30221670311207</v>
      </c>
      <c r="AS440" s="168" t="str">
        <f t="shared" si="273"/>
        <v>0,281145801754343+0,0434629470646842i</v>
      </c>
      <c r="AT440" s="190">
        <f t="shared" si="274"/>
        <v>-10.918797828900981</v>
      </c>
      <c r="AU440" s="169">
        <f t="shared" si="275"/>
        <v>8.7879143502452415</v>
      </c>
      <c r="AV440" s="225"/>
      <c r="AX440">
        <f t="shared" si="276"/>
        <v>0</v>
      </c>
      <c r="AY440">
        <f t="shared" si="277"/>
        <v>0</v>
      </c>
    </row>
    <row r="441" spans="14:51" x14ac:dyDescent="0.25">
      <c r="N441" s="170">
        <v>23</v>
      </c>
      <c r="O441" s="199">
        <f t="shared" si="278"/>
        <v>169824.36524617471</v>
      </c>
      <c r="P441" s="189" t="str">
        <f t="shared" si="244"/>
        <v>120,833333333333</v>
      </c>
      <c r="Q441" s="160" t="str">
        <f t="shared" si="245"/>
        <v>1+951,442177893312i</v>
      </c>
      <c r="R441" s="160">
        <f t="shared" si="253"/>
        <v>951.44270341117681</v>
      </c>
      <c r="S441" s="160">
        <f t="shared" si="254"/>
        <v>1.5697452911618235</v>
      </c>
      <c r="T441" s="160" t="str">
        <f t="shared" si="246"/>
        <v>1+0,0640222773909515i</v>
      </c>
      <c r="U441" s="160">
        <f t="shared" si="255"/>
        <v>1.0020473302206458</v>
      </c>
      <c r="V441" s="160">
        <f t="shared" si="256"/>
        <v>6.3935019272213081E-2</v>
      </c>
      <c r="W441" s="98" t="str">
        <f t="shared" si="247"/>
        <v>1-0,548030694466545i</v>
      </c>
      <c r="X441" s="160">
        <f t="shared" si="257"/>
        <v>1.1403234813321541</v>
      </c>
      <c r="Y441" s="160">
        <f t="shared" si="258"/>
        <v>-0.50133001092433416</v>
      </c>
      <c r="Z441" s="98" t="str">
        <f t="shared" si="248"/>
        <v>0,97616502889978+0,212272560273811i</v>
      </c>
      <c r="AA441" s="160">
        <f t="shared" si="259"/>
        <v>0.99897837989223126</v>
      </c>
      <c r="AB441" s="160">
        <f t="shared" si="260"/>
        <v>0.21412208500416915</v>
      </c>
      <c r="AC441" s="171" t="str">
        <f t="shared" si="261"/>
        <v>-0,0879669648866044-0,115603019041772i</v>
      </c>
      <c r="AD441" s="190">
        <f t="shared" si="262"/>
        <v>-16.756713406368615</v>
      </c>
      <c r="AE441" s="169">
        <f t="shared" si="263"/>
        <v>-127.26895886721363</v>
      </c>
      <c r="AF441" s="98" t="str">
        <f t="shared" si="249"/>
        <v>-0,0000375877424711299</v>
      </c>
      <c r="AG441" s="98" t="str">
        <f t="shared" si="250"/>
        <v>0,00108090944995057i</v>
      </c>
      <c r="AH441" s="98">
        <f t="shared" si="264"/>
        <v>1.08090944995057E-3</v>
      </c>
      <c r="AI441" s="98">
        <f t="shared" si="265"/>
        <v>1.5707963267948966</v>
      </c>
      <c r="AJ441" s="98" t="str">
        <f t="shared" si="251"/>
        <v>1+0,985930431686913i</v>
      </c>
      <c r="AK441" s="98">
        <f t="shared" si="266"/>
        <v>1.4043001161170439</v>
      </c>
      <c r="AL441" s="98">
        <f t="shared" si="267"/>
        <v>0.77831365897423999</v>
      </c>
      <c r="AM441" s="98" t="str">
        <f t="shared" si="252"/>
        <v>1+76,8267328691419i</v>
      </c>
      <c r="AN441" s="98">
        <f t="shared" si="268"/>
        <v>76.833240744787602</v>
      </c>
      <c r="AO441" s="98">
        <f t="shared" si="269"/>
        <v>1.5577807592484725</v>
      </c>
      <c r="AP441" s="168" t="str">
        <f t="shared" si="270"/>
        <v>-1,33733430403757+1,35329277018261i</v>
      </c>
      <c r="AQ441" s="98">
        <f t="shared" si="271"/>
        <v>5.5869229769204898</v>
      </c>
      <c r="AR441" s="169">
        <f t="shared" si="272"/>
        <v>134.66017511501403</v>
      </c>
      <c r="AS441" s="168" t="str">
        <f t="shared" si="273"/>
        <v>0,274085969645437+0,0355548254189209i</v>
      </c>
      <c r="AT441" s="190">
        <f t="shared" si="274"/>
        <v>-11.169790429448128</v>
      </c>
      <c r="AU441" s="169">
        <f t="shared" si="275"/>
        <v>7.3912162478004113</v>
      </c>
      <c r="AV441" s="225"/>
      <c r="AX441">
        <f t="shared" si="276"/>
        <v>0</v>
      </c>
      <c r="AY441">
        <f t="shared" si="277"/>
        <v>0</v>
      </c>
    </row>
    <row r="442" spans="14:51" x14ac:dyDescent="0.25">
      <c r="N442" s="170">
        <v>24</v>
      </c>
      <c r="O442" s="199">
        <f t="shared" si="278"/>
        <v>173780.0828749378</v>
      </c>
      <c r="P442" s="189" t="str">
        <f t="shared" si="244"/>
        <v>120,833333333333</v>
      </c>
      <c r="Q442" s="160" t="str">
        <f t="shared" si="245"/>
        <v>1+973,604113198568i</v>
      </c>
      <c r="R442" s="160">
        <f t="shared" si="253"/>
        <v>973.60462675419217</v>
      </c>
      <c r="S442" s="160">
        <f t="shared" si="254"/>
        <v>1.5697692156366845</v>
      </c>
      <c r="T442" s="160" t="str">
        <f t="shared" si="246"/>
        <v>1+0,0655135478040155i</v>
      </c>
      <c r="U442" s="160">
        <f t="shared" si="255"/>
        <v>1.0021437147165415</v>
      </c>
      <c r="V442" s="160">
        <f t="shared" si="256"/>
        <v>6.5420059843952702E-2</v>
      </c>
      <c r="W442" s="98" t="str">
        <f t="shared" si="247"/>
        <v>1-0,560795969202373i</v>
      </c>
      <c r="X442" s="160">
        <f t="shared" si="257"/>
        <v>1.1465130261247052</v>
      </c>
      <c r="Y442" s="160">
        <f t="shared" si="258"/>
        <v>-0.51109406118377632</v>
      </c>
      <c r="Z442" s="98" t="str">
        <f t="shared" si="248"/>
        <v>0,975041721318991+0,217217023381686i</v>
      </c>
      <c r="AA442" s="160">
        <f t="shared" si="259"/>
        <v>0.99894423946459643</v>
      </c>
      <c r="AB442" s="160">
        <f t="shared" si="260"/>
        <v>0.21919770462002941</v>
      </c>
      <c r="AC442" s="171" t="str">
        <f t="shared" si="261"/>
        <v>-0,0879544850755634-0,112432973438222i</v>
      </c>
      <c r="AD442" s="190">
        <f t="shared" si="262"/>
        <v>-16.908562387501355</v>
      </c>
      <c r="AE442" s="169">
        <f t="shared" si="263"/>
        <v>-128.03549353470603</v>
      </c>
      <c r="AF442" s="98" t="str">
        <f t="shared" si="249"/>
        <v>-0,0000375877424711299</v>
      </c>
      <c r="AG442" s="98" t="str">
        <f t="shared" si="250"/>
        <v>0,00110608706542446i</v>
      </c>
      <c r="AH442" s="98">
        <f t="shared" si="264"/>
        <v>1.1060870654244601E-3</v>
      </c>
      <c r="AI442" s="98">
        <f t="shared" si="265"/>
        <v>1.5707963267948966</v>
      </c>
      <c r="AJ442" s="98" t="str">
        <f t="shared" si="251"/>
        <v>1+1,00889570162156i</v>
      </c>
      <c r="AK442" s="98">
        <f t="shared" si="266"/>
        <v>1.4205177002594722</v>
      </c>
      <c r="AL442" s="98">
        <f t="shared" si="267"/>
        <v>0.78982628949235012</v>
      </c>
      <c r="AM442" s="98" t="str">
        <f t="shared" si="252"/>
        <v>1+78,6162573648187i</v>
      </c>
      <c r="AN442" s="98">
        <f t="shared" si="268"/>
        <v>78.622617115251316</v>
      </c>
      <c r="AO442" s="98">
        <f t="shared" si="269"/>
        <v>1.5580769974116013</v>
      </c>
      <c r="AP442" s="168" t="str">
        <f t="shared" si="270"/>
        <v>-1,30697279947036+1,35258186498254i</v>
      </c>
      <c r="AQ442" s="98">
        <f t="shared" si="271"/>
        <v>5.4871555093529896</v>
      </c>
      <c r="AR442" s="169">
        <f t="shared" si="272"/>
        <v>134.01752317171082</v>
      </c>
      <c r="AS442" s="168" t="str">
        <f t="shared" si="273"/>
        <v>0,267028920483786+0,0279811965902451i</v>
      </c>
      <c r="AT442" s="190">
        <f t="shared" si="274"/>
        <v>-11.421406878148357</v>
      </c>
      <c r="AU442" s="169">
        <f t="shared" si="275"/>
        <v>5.9820296370047599</v>
      </c>
      <c r="AV442" s="225"/>
      <c r="AX442">
        <f t="shared" si="276"/>
        <v>0</v>
      </c>
      <c r="AY442">
        <f t="shared" si="277"/>
        <v>0</v>
      </c>
    </row>
    <row r="443" spans="14:51" x14ac:dyDescent="0.25">
      <c r="N443" s="170">
        <v>25</v>
      </c>
      <c r="O443" s="199">
        <f t="shared" si="278"/>
        <v>177827.94100389251</v>
      </c>
      <c r="P443" s="189" t="str">
        <f t="shared" si="244"/>
        <v>120,833333333333</v>
      </c>
      <c r="Q443" s="160" t="str">
        <f t="shared" si="245"/>
        <v>1+996,282266291817i</v>
      </c>
      <c r="R443" s="160">
        <f t="shared" si="253"/>
        <v>996.28276815749416</v>
      </c>
      <c r="S443" s="160">
        <f t="shared" si="254"/>
        <v>1.5697925955251466</v>
      </c>
      <c r="T443" s="160" t="str">
        <f t="shared" si="246"/>
        <v>1+0,0670395543672995i</v>
      </c>
      <c r="U443" s="160">
        <f t="shared" si="255"/>
        <v>1.002244631739061</v>
      </c>
      <c r="V443" s="160">
        <f t="shared" si="256"/>
        <v>6.6939392326221536E-2</v>
      </c>
      <c r="W443" s="98" t="str">
        <f t="shared" si="247"/>
        <v>1-0,573858585384084i</v>
      </c>
      <c r="X443" s="160">
        <f t="shared" si="257"/>
        <v>1.1529586618864625</v>
      </c>
      <c r="Y443" s="160">
        <f t="shared" si="258"/>
        <v>-0.52097605334097352</v>
      </c>
      <c r="Z443" s="98" t="str">
        <f t="shared" si="248"/>
        <v>0,973865473882906+0,222276657830565i</v>
      </c>
      <c r="AA443" s="160">
        <f t="shared" si="259"/>
        <v>0.99890984269727923</v>
      </c>
      <c r="AB443" s="160">
        <f t="shared" si="260"/>
        <v>0.22439773651018025</v>
      </c>
      <c r="AC443" s="171" t="str">
        <f t="shared" si="261"/>
        <v>-0,0879406217575078-0,109321683287993i</v>
      </c>
      <c r="AD443" s="190">
        <f t="shared" si="262"/>
        <v>-17.058693597495044</v>
      </c>
      <c r="AE443" s="169">
        <f t="shared" si="263"/>
        <v>-128.81391808915745</v>
      </c>
      <c r="AF443" s="98" t="str">
        <f t="shared" si="249"/>
        <v>-0,0000375877424711299</v>
      </c>
      <c r="AG443" s="98" t="str">
        <f t="shared" si="250"/>
        <v>0,00113185114290124i</v>
      </c>
      <c r="AH443" s="98">
        <f t="shared" si="264"/>
        <v>1.13185114290124E-3</v>
      </c>
      <c r="AI443" s="98">
        <f t="shared" si="265"/>
        <v>1.5707963267948966</v>
      </c>
      <c r="AJ443" s="98" t="str">
        <f t="shared" si="251"/>
        <v>1+1,03239590141152i</v>
      </c>
      <c r="AK443" s="98">
        <f t="shared" si="266"/>
        <v>1.4373034812631966</v>
      </c>
      <c r="AL443" s="98">
        <f t="shared" si="267"/>
        <v>0.80133657290434035</v>
      </c>
      <c r="AM443" s="98" t="str">
        <f t="shared" si="252"/>
        <v>1+80,4474652407595i</v>
      </c>
      <c r="AN443" s="98">
        <f t="shared" si="268"/>
        <v>80.453680236911538</v>
      </c>
      <c r="AO443" s="98">
        <f t="shared" si="269"/>
        <v>1.5583664945281677</v>
      </c>
      <c r="AP443" s="168" t="str">
        <f t="shared" si="270"/>
        <v>-1,27662367283225+1,35119013394283i</v>
      </c>
      <c r="AQ443" s="98">
        <f t="shared" si="271"/>
        <v>5.385087330664927</v>
      </c>
      <c r="AR443" s="169">
        <f t="shared" si="272"/>
        <v>133.37461947416486</v>
      </c>
      <c r="AS443" s="168" t="str">
        <f t="shared" si="273"/>
        <v>0,25998145942398+0,0207381483477789i</v>
      </c>
      <c r="AT443" s="190">
        <f t="shared" si="274"/>
        <v>-11.673606266830124</v>
      </c>
      <c r="AU443" s="169">
        <f t="shared" si="275"/>
        <v>4.5607013850073734</v>
      </c>
      <c r="AV443" s="225"/>
      <c r="AX443">
        <f t="shared" si="276"/>
        <v>0</v>
      </c>
      <c r="AY443">
        <f t="shared" si="277"/>
        <v>0</v>
      </c>
    </row>
    <row r="444" spans="14:51" x14ac:dyDescent="0.25">
      <c r="N444" s="170">
        <v>26</v>
      </c>
      <c r="O444" s="199">
        <f t="shared" si="278"/>
        <v>181970.08586099857</v>
      </c>
      <c r="P444" s="189" t="str">
        <f t="shared" si="244"/>
        <v>120,833333333333</v>
      </c>
      <c r="Q444" s="160" t="str">
        <f t="shared" si="245"/>
        <v>1+1019,48866143i</v>
      </c>
      <c r="R444" s="160">
        <f t="shared" si="253"/>
        <v>1019.4891518718251</v>
      </c>
      <c r="S444" s="160">
        <f t="shared" si="254"/>
        <v>1.5698154432234339</v>
      </c>
      <c r="T444" s="160" t="str">
        <f t="shared" si="246"/>
        <v>1+0,0686011061896817i</v>
      </c>
      <c r="U444" s="160">
        <f t="shared" si="255"/>
        <v>1.0023502939444113</v>
      </c>
      <c r="V444" s="160">
        <f t="shared" si="256"/>
        <v>6.8493794215950074E-2</v>
      </c>
      <c r="W444" s="98" t="str">
        <f t="shared" si="247"/>
        <v>1-0,587225468983675i</v>
      </c>
      <c r="X444" s="160">
        <f t="shared" si="257"/>
        <v>1.1596696734083793</v>
      </c>
      <c r="Y444" s="160">
        <f t="shared" si="258"/>
        <v>-0.53097350618440842</v>
      </c>
      <c r="Z444" s="98" t="str">
        <f t="shared" si="248"/>
        <v>0,972633791613009+0,227454146305602i</v>
      </c>
      <c r="AA444" s="160">
        <f t="shared" si="259"/>
        <v>0.99887530816369074</v>
      </c>
      <c r="AB444" s="160">
        <f t="shared" si="260"/>
        <v>0.2297255068201447</v>
      </c>
      <c r="AC444" s="171" t="str">
        <f t="shared" si="261"/>
        <v>-0,0879253114884328-0,106267442281613i</v>
      </c>
      <c r="AD444" s="190">
        <f t="shared" si="262"/>
        <v>-17.207066165421107</v>
      </c>
      <c r="AE444" s="169">
        <f t="shared" si="263"/>
        <v>-129.60423710467811</v>
      </c>
      <c r="AF444" s="98" t="str">
        <f t="shared" si="249"/>
        <v>-0,0000375877424711299</v>
      </c>
      <c r="AG444" s="98" t="str">
        <f t="shared" si="250"/>
        <v>0,0011582153428358i</v>
      </c>
      <c r="AH444" s="98">
        <f t="shared" si="264"/>
        <v>1.1582153428358001E-3</v>
      </c>
      <c r="AI444" s="98">
        <f t="shared" si="265"/>
        <v>1.5707963267948966</v>
      </c>
      <c r="AJ444" s="98" t="str">
        <f t="shared" si="251"/>
        <v>1+1,05644349117377i</v>
      </c>
      <c r="AK444" s="98">
        <f t="shared" si="266"/>
        <v>1.4546727639037664</v>
      </c>
      <c r="AL444" s="98">
        <f t="shared" si="267"/>
        <v>0.81283841352015807</v>
      </c>
      <c r="AM444" s="98" t="str">
        <f t="shared" si="252"/>
        <v>1+82,3213274276181i</v>
      </c>
      <c r="AN444" s="98">
        <f t="shared" si="268"/>
        <v>82.327400963744196</v>
      </c>
      <c r="AO444" s="98">
        <f t="shared" si="269"/>
        <v>1.5586494038991645</v>
      </c>
      <c r="AP444" s="168" t="str">
        <f t="shared" si="270"/>
        <v>-1,24631905008911+1,34911880376093i</v>
      </c>
      <c r="AQ444" s="98">
        <f t="shared" si="271"/>
        <v>5.2807205313966197</v>
      </c>
      <c r="AR444" s="169">
        <f t="shared" si="272"/>
        <v>132.7318220631891</v>
      </c>
      <c r="AS444" s="168" t="str">
        <f t="shared" si="273"/>
        <v>0,252950395302756+0,0138214466642376i</v>
      </c>
      <c r="AT444" s="190">
        <f t="shared" si="274"/>
        <v>-11.926345634024491</v>
      </c>
      <c r="AU444" s="169">
        <f t="shared" si="275"/>
        <v>3.1275849585109916</v>
      </c>
      <c r="AV444" s="225"/>
      <c r="AX444">
        <f t="shared" si="276"/>
        <v>0</v>
      </c>
      <c r="AY444">
        <f t="shared" si="277"/>
        <v>0</v>
      </c>
    </row>
    <row r="445" spans="14:51" x14ac:dyDescent="0.25">
      <c r="N445" s="170">
        <v>27</v>
      </c>
      <c r="O445" s="199">
        <f t="shared" si="278"/>
        <v>186208.71366628664</v>
      </c>
      <c r="P445" s="189" t="str">
        <f t="shared" si="244"/>
        <v>120,833333333333</v>
      </c>
      <c r="Q445" s="160" t="str">
        <f t="shared" si="245"/>
        <v>1+1043,235602951i</v>
      </c>
      <c r="R445" s="160">
        <f t="shared" si="253"/>
        <v>1043.2360822290113</v>
      </c>
      <c r="S445" s="160">
        <f t="shared" si="254"/>
        <v>1.5698377708456031</v>
      </c>
      <c r="T445" s="160" t="str">
        <f t="shared" si="246"/>
        <v>1+0,0701990312266091i</v>
      </c>
      <c r="U445" s="160">
        <f t="shared" si="255"/>
        <v>1.002460923919309</v>
      </c>
      <c r="V445" s="160">
        <f t="shared" si="256"/>
        <v>7.0084059615163979E-2</v>
      </c>
      <c r="W445" s="98" t="str">
        <f t="shared" si="247"/>
        <v>1-0,600903707299774i</v>
      </c>
      <c r="X445" s="160">
        <f t="shared" si="257"/>
        <v>1.1666555899007267</v>
      </c>
      <c r="Y445" s="160">
        <f t="shared" si="258"/>
        <v>-0.541083726011378</v>
      </c>
      <c r="Z445" s="98" t="str">
        <f t="shared" si="248"/>
        <v>0,971344061946072+0,232752233979724i</v>
      </c>
      <c r="AA445" s="160">
        <f t="shared" si="259"/>
        <v>0.99884077264619453</v>
      </c>
      <c r="AB445" s="160">
        <f t="shared" si="260"/>
        <v>0.23518444799741978</v>
      </c>
      <c r="AC445" s="171" t="str">
        <f t="shared" si="261"/>
        <v>-0,0879084844997045-0,103268570883411i</v>
      </c>
      <c r="AD445" s="190">
        <f t="shared" si="262"/>
        <v>-17.353639724838942</v>
      </c>
      <c r="AE445" s="169">
        <f t="shared" si="263"/>
        <v>-130.40644810361738</v>
      </c>
      <c r="AF445" s="98" t="str">
        <f t="shared" si="249"/>
        <v>-0,0000375877424711299</v>
      </c>
      <c r="AG445" s="98" t="str">
        <f t="shared" si="250"/>
        <v>0,00118519364387592i</v>
      </c>
      <c r="AH445" s="98">
        <f t="shared" si="264"/>
        <v>1.18519364387592E-3</v>
      </c>
      <c r="AI445" s="98">
        <f t="shared" si="265"/>
        <v>1.5707963267948966</v>
      </c>
      <c r="AJ445" s="98" t="str">
        <f t="shared" si="251"/>
        <v>1+1,08105122125874i</v>
      </c>
      <c r="AK445" s="98">
        <f t="shared" si="266"/>
        <v>1.4726410774472554</v>
      </c>
      <c r="AL445" s="98">
        <f t="shared" si="267"/>
        <v>0.82432573798480491</v>
      </c>
      <c r="AM445" s="98" t="str">
        <f t="shared" si="252"/>
        <v>1+84,238837471931i</v>
      </c>
      <c r="AN445" s="98">
        <f t="shared" si="268"/>
        <v>84.244772767349815</v>
      </c>
      <c r="AO445" s="98">
        <f t="shared" si="269"/>
        <v>1.5589258753456336</v>
      </c>
      <c r="AP445" s="168" t="str">
        <f t="shared" si="270"/>
        <v>-1,21609086894609+1,34637095039925i</v>
      </c>
      <c r="AQ445" s="98">
        <f t="shared" si="271"/>
        <v>5.1740596350949755</v>
      </c>
      <c r="AR445" s="169">
        <f t="shared" si="272"/>
        <v>132.08948750050598</v>
      </c>
      <c r="AS445" s="168" t="str">
        <f t="shared" si="273"/>
        <v>0,24594250922965+0,00722653627640331i</v>
      </c>
      <c r="AT445" s="190">
        <f t="shared" si="274"/>
        <v>-12.179580089743968</v>
      </c>
      <c r="AU445" s="169">
        <f t="shared" si="275"/>
        <v>1.6830393968886068</v>
      </c>
      <c r="AV445" s="225"/>
      <c r="AX445">
        <f t="shared" si="276"/>
        <v>0</v>
      </c>
      <c r="AY445">
        <f t="shared" si="277"/>
        <v>0</v>
      </c>
    </row>
    <row r="446" spans="14:51" x14ac:dyDescent="0.25">
      <c r="N446" s="170">
        <v>28</v>
      </c>
      <c r="O446" s="199">
        <f t="shared" si="278"/>
        <v>190546.07179632492</v>
      </c>
      <c r="P446" s="189" t="str">
        <f t="shared" si="244"/>
        <v>120,833333333333</v>
      </c>
      <c r="Q446" s="160" t="str">
        <f t="shared" si="245"/>
        <v>1+1067,53568179756i</v>
      </c>
      <c r="R446" s="160">
        <f t="shared" si="253"/>
        <v>1067.5361501658767</v>
      </c>
      <c r="S446" s="160">
        <f t="shared" si="254"/>
        <v>1.5698595902299657</v>
      </c>
      <c r="T446" s="160" t="str">
        <f t="shared" si="246"/>
        <v>1+0,0718341767190875i</v>
      </c>
      <c r="U446" s="160">
        <f t="shared" si="255"/>
        <v>1.0025767546402167</v>
      </c>
      <c r="V446" s="160">
        <f t="shared" si="256"/>
        <v>7.1710999512013554E-2</v>
      </c>
      <c r="W446" s="98" t="str">
        <f t="shared" si="247"/>
        <v>1-0,614900552715389i</v>
      </c>
      <c r="X446" s="160">
        <f t="shared" si="257"/>
        <v>1.1739261858096917</v>
      </c>
      <c r="Y446" s="160">
        <f t="shared" si="258"/>
        <v>-0.55130380541749024</v>
      </c>
      <c r="Z446" s="98" t="str">
        <f t="shared" si="248"/>
        <v>0,969993549192553+0,238173729969144i</v>
      </c>
      <c r="AA446" s="160">
        <f t="shared" si="259"/>
        <v>0.99880639321270881</v>
      </c>
      <c r="AB446" s="160">
        <f t="shared" si="260"/>
        <v>0.24077810309829664</v>
      </c>
      <c r="AC446" s="171" t="str">
        <f t="shared" si="261"/>
        <v>-0,0878900642414886-0,100323415267168i</v>
      </c>
      <c r="AD446" s="190">
        <f t="shared" si="262"/>
        <v>-17.49837453409577</v>
      </c>
      <c r="AE446" s="169">
        <f t="shared" si="263"/>
        <v>-131.22054171823268</v>
      </c>
      <c r="AF446" s="98" t="str">
        <f t="shared" si="249"/>
        <v>-0,0000375877424711299</v>
      </c>
      <c r="AG446" s="98" t="str">
        <f t="shared" si="250"/>
        <v>0,00121280035027392i</v>
      </c>
      <c r="AH446" s="98">
        <f t="shared" si="264"/>
        <v>1.2128003502739201E-3</v>
      </c>
      <c r="AI446" s="98">
        <f t="shared" si="265"/>
        <v>1.5707963267948966</v>
      </c>
      <c r="AJ446" s="98" t="str">
        <f t="shared" si="251"/>
        <v>1+1,10623213901063i</v>
      </c>
      <c r="AK446" s="98">
        <f t="shared" si="266"/>
        <v>1.4912241767688832</v>
      </c>
      <c r="AL446" s="98">
        <f t="shared" si="267"/>
        <v>0.83579251125324683</v>
      </c>
      <c r="AM446" s="98" t="str">
        <f t="shared" si="252"/>
        <v>1+86,2010120629051i</v>
      </c>
      <c r="AN446" s="98">
        <f t="shared" si="268"/>
        <v>86.206812263701693</v>
      </c>
      <c r="AO446" s="98">
        <f t="shared" si="269"/>
        <v>1.5591960552872388</v>
      </c>
      <c r="AP446" s="168" t="str">
        <f t="shared" si="270"/>
        <v>-1,18597074471118+1,34295147649572i</v>
      </c>
      <c r="AQ446" s="98">
        <f t="shared" si="271"/>
        <v>5.0651115788007592</v>
      </c>
      <c r="AR446" s="169">
        <f t="shared" si="272"/>
        <v>131.44796995795383</v>
      </c>
      <c r="AS446" s="168" t="str">
        <f t="shared" si="273"/>
        <v>0,238964523601328+0,000948543973961408i</v>
      </c>
      <c r="AT446" s="190">
        <f t="shared" si="274"/>
        <v>-12.433262955295017</v>
      </c>
      <c r="AU446" s="169">
        <f t="shared" si="275"/>
        <v>0.22742823972114518</v>
      </c>
      <c r="AV446" s="225"/>
      <c r="AX446">
        <f t="shared" si="276"/>
        <v>0</v>
      </c>
      <c r="AY446">
        <f t="shared" si="277"/>
        <v>0</v>
      </c>
    </row>
    <row r="447" spans="14:51" x14ac:dyDescent="0.25">
      <c r="N447" s="170">
        <v>29</v>
      </c>
      <c r="O447" s="199">
        <f t="shared" si="278"/>
        <v>194984.45997580473</v>
      </c>
      <c r="P447" s="189" t="str">
        <f t="shared" si="244"/>
        <v>120,833333333333</v>
      </c>
      <c r="Q447" s="160" t="str">
        <f t="shared" si="245"/>
        <v>1+1092,40178219309i</v>
      </c>
      <c r="R447" s="160">
        <f t="shared" si="253"/>
        <v>1092.4022399000467</v>
      </c>
      <c r="S447" s="160">
        <f t="shared" si="254"/>
        <v>1.569880912945365</v>
      </c>
      <c r="T447" s="160" t="str">
        <f t="shared" si="246"/>
        <v>1+0,073507409642899i</v>
      </c>
      <c r="U447" s="160">
        <f t="shared" si="255"/>
        <v>1.0026980299533896</v>
      </c>
      <c r="V447" s="160">
        <f t="shared" si="256"/>
        <v>7.3375442061016732E-2</v>
      </c>
      <c r="W447" s="98" t="str">
        <f t="shared" si="247"/>
        <v>1-0,629223426543216i</v>
      </c>
      <c r="X447" s="160">
        <f t="shared" si="257"/>
        <v>1.1814914813534569</v>
      </c>
      <c r="Y447" s="160">
        <f t="shared" si="258"/>
        <v>-0.5616306228791359</v>
      </c>
      <c r="Z447" s="98" t="str">
        <f t="shared" si="248"/>
        <v>0,968579388733838+0,243721508822792i</v>
      </c>
      <c r="AA447" s="160">
        <f t="shared" si="259"/>
        <v>0.99877234950857219</v>
      </c>
      <c r="AB447" s="160">
        <f t="shared" si="260"/>
        <v>0.24651013029586546</v>
      </c>
      <c r="AC447" s="171" t="str">
        <f t="shared" si="261"/>
        <v>-0,0878699668831171-0,0974303462625045i</v>
      </c>
      <c r="AD447" s="190">
        <f t="shared" si="262"/>
        <v>-17.641231601144387</v>
      </c>
      <c r="AE447" s="169">
        <f t="shared" si="263"/>
        <v>-132.04650190936218</v>
      </c>
      <c r="AF447" s="98" t="str">
        <f t="shared" si="249"/>
        <v>-0,0000375877424711299</v>
      </c>
      <c r="AG447" s="98" t="str">
        <f t="shared" si="250"/>
        <v>0,00124105009947095i</v>
      </c>
      <c r="AH447" s="98">
        <f t="shared" si="264"/>
        <v>1.24105009947095E-3</v>
      </c>
      <c r="AI447" s="98">
        <f t="shared" si="265"/>
        <v>1.5707963267948966</v>
      </c>
      <c r="AJ447" s="98" t="str">
        <f t="shared" si="251"/>
        <v>1+1,13199959568532i</v>
      </c>
      <c r="AK447" s="98">
        <f t="shared" si="266"/>
        <v>1.5104380439566953</v>
      </c>
      <c r="AL447" s="98">
        <f t="shared" si="267"/>
        <v>0.84723275231935946</v>
      </c>
      <c r="AM447" s="98" t="str">
        <f t="shared" si="252"/>
        <v>1+88,208891571479i</v>
      </c>
      <c r="AN447" s="98">
        <f t="shared" si="268"/>
        <v>88.214559752168682</v>
      </c>
      <c r="AO447" s="98">
        <f t="shared" si="269"/>
        <v>1.5594600868190913</v>
      </c>
      <c r="AP447" s="168" t="str">
        <f t="shared" si="270"/>
        <v>-1,15598983903996+1,33886707723158i</v>
      </c>
      <c r="AQ447" s="98">
        <f t="shared" si="271"/>
        <v>4.953885683470971</v>
      </c>
      <c r="AR447" s="169">
        <f t="shared" si="272"/>
        <v>130.80762032068691</v>
      </c>
      <c r="AS447" s="168" t="str">
        <f t="shared" si="273"/>
        <v>0,232023071807801-0,00501771544363457i</v>
      </c>
      <c r="AT447" s="190">
        <f t="shared" si="274"/>
        <v>-12.687345917673429</v>
      </c>
      <c r="AU447" s="169">
        <f t="shared" si="275"/>
        <v>-1.2388815886752531</v>
      </c>
      <c r="AV447" s="225"/>
      <c r="AX447">
        <f t="shared" si="276"/>
        <v>0</v>
      </c>
      <c r="AY447">
        <f t="shared" si="277"/>
        <v>0</v>
      </c>
    </row>
    <row r="448" spans="14:51" x14ac:dyDescent="0.25">
      <c r="N448" s="170">
        <v>30</v>
      </c>
      <c r="O448" s="199">
        <f t="shared" si="278"/>
        <v>199526.23149688813</v>
      </c>
      <c r="P448" s="189" t="str">
        <f t="shared" si="244"/>
        <v>120,833333333333</v>
      </c>
      <c r="Q448" s="160" t="str">
        <f t="shared" si="245"/>
        <v>1+1117,8470884732i</v>
      </c>
      <c r="R448" s="160">
        <f t="shared" si="253"/>
        <v>1117.8475357614786</v>
      </c>
      <c r="S448" s="160">
        <f t="shared" si="254"/>
        <v>1.5699017502973096</v>
      </c>
      <c r="T448" s="160" t="str">
        <f t="shared" si="246"/>
        <v>1+0,0752196171682894i</v>
      </c>
      <c r="U448" s="160">
        <f t="shared" si="255"/>
        <v>1.0028250050766305</v>
      </c>
      <c r="V448" s="160">
        <f t="shared" si="256"/>
        <v>7.5078232862004574E-2</v>
      </c>
      <c r="W448" s="98" t="str">
        <f t="shared" si="247"/>
        <v>1-0,643879922960558i</v>
      </c>
      <c r="X448" s="160">
        <f t="shared" si="257"/>
        <v>1.1893617427812675</v>
      </c>
      <c r="Y448" s="160">
        <f t="shared" si="258"/>
        <v>-0.57206084317391204</v>
      </c>
      <c r="Z448" s="98" t="str">
        <f t="shared" si="248"/>
        <v>0,967098580945992+0,249398512046455i</v>
      </c>
      <c r="AA448" s="160">
        <f t="shared" si="259"/>
        <v>0.99873884628502219</v>
      </c>
      <c r="AB448" s="160">
        <f t="shared" si="260"/>
        <v>0.25238430759712777</v>
      </c>
      <c r="AC448" s="171" t="str">
        <f t="shared" si="261"/>
        <v>-0,0878481007667321-0,0945877583124789i</v>
      </c>
      <c r="AD448" s="190">
        <f t="shared" si="262"/>
        <v>-17.782172812565552</v>
      </c>
      <c r="AE448" s="169">
        <f t="shared" si="263"/>
        <v>-132.88430624515075</v>
      </c>
      <c r="AF448" s="98" t="str">
        <f t="shared" si="249"/>
        <v>-0,0000375877424711299</v>
      </c>
      <c r="AG448" s="98" t="str">
        <f t="shared" si="250"/>
        <v>0,00126995786985796i</v>
      </c>
      <c r="AH448" s="98">
        <f t="shared" si="264"/>
        <v>1.2699578698579599E-3</v>
      </c>
      <c r="AI448" s="98">
        <f t="shared" si="265"/>
        <v>1.5707963267948966</v>
      </c>
      <c r="AJ448" s="98" t="str">
        <f t="shared" si="251"/>
        <v>1+1,15836725352943i</v>
      </c>
      <c r="AK448" s="98">
        <f t="shared" si="266"/>
        <v>1.5302988904293551</v>
      </c>
      <c r="AL448" s="98">
        <f t="shared" si="267"/>
        <v>0.85864054959969638</v>
      </c>
      <c r="AM448" s="98" t="str">
        <f t="shared" si="252"/>
        <v>1+90,2635406019474i</v>
      </c>
      <c r="AN448" s="98">
        <f t="shared" si="268"/>
        <v>90.2690797671019</v>
      </c>
      <c r="AO448" s="98">
        <f t="shared" si="269"/>
        <v>1.5597181097868693</v>
      </c>
      <c r="AP448" s="168" t="str">
        <f t="shared" si="270"/>
        <v>-1,12617873270973+1,33412619505952i</v>
      </c>
      <c r="AQ448" s="98">
        <f t="shared" si="271"/>
        <v>4.8403936146000772</v>
      </c>
      <c r="AR448" s="169">
        <f t="shared" si="272"/>
        <v>130.16878531005389</v>
      </c>
      <c r="AS448" s="168" t="str">
        <f t="shared" si="273"/>
        <v>0,225124668889072-0,0106777306329239i</v>
      </c>
      <c r="AT448" s="190">
        <f t="shared" si="274"/>
        <v>-12.941779197965475</v>
      </c>
      <c r="AU448" s="169">
        <f t="shared" si="275"/>
        <v>-2.7155209350968348</v>
      </c>
      <c r="AV448" s="225"/>
      <c r="AX448">
        <f t="shared" si="276"/>
        <v>0</v>
      </c>
      <c r="AY448">
        <f t="shared" si="277"/>
        <v>0</v>
      </c>
    </row>
    <row r="449" spans="14:51" x14ac:dyDescent="0.25">
      <c r="N449" s="170">
        <v>31</v>
      </c>
      <c r="O449" s="199">
        <f t="shared" si="278"/>
        <v>204173.79446695308</v>
      </c>
      <c r="P449" s="189" t="str">
        <f t="shared" si="244"/>
        <v>120,833333333333</v>
      </c>
      <c r="Q449" s="160" t="str">
        <f t="shared" si="245"/>
        <v>1+1143,88509207606i</v>
      </c>
      <c r="R449" s="160">
        <f t="shared" si="253"/>
        <v>1143.8855291828183</v>
      </c>
      <c r="S449" s="160">
        <f t="shared" si="254"/>
        <v>1.5699221133339665</v>
      </c>
      <c r="T449" s="160" t="str">
        <f t="shared" si="246"/>
        <v>1+0,0769717071303515i</v>
      </c>
      <c r="U449" s="160">
        <f t="shared" si="255"/>
        <v>1.0029579471236869</v>
      </c>
      <c r="V449" s="160">
        <f t="shared" si="256"/>
        <v>7.6820235237191545E-2</v>
      </c>
      <c r="W449" s="98" t="str">
        <f t="shared" si="247"/>
        <v>1-0,658877813035809i</v>
      </c>
      <c r="X449" s="160">
        <f t="shared" si="257"/>
        <v>1.1975474823617018</v>
      </c>
      <c r="Y449" s="160">
        <f t="shared" si="258"/>
        <v>-0.58259091867960644</v>
      </c>
      <c r="Z449" s="98" t="str">
        <f t="shared" si="248"/>
        <v>0,965547984837163+0,255207749662384i</v>
      </c>
      <c r="AA449" s="160">
        <f t="shared" si="259"/>
        <v>0.9987061161877625</v>
      </c>
      <c r="AB449" s="160">
        <f t="shared" si="260"/>
        <v>0.25840453777695122</v>
      </c>
      <c r="AC449" s="171" t="str">
        <f t="shared" si="261"/>
        <v>-0,0878243658103399-0,0917940684431831i</v>
      </c>
      <c r="AD449" s="190">
        <f t="shared" si="262"/>
        <v>-17.921161066441421</v>
      </c>
      <c r="AE449" s="169">
        <f t="shared" si="263"/>
        <v>-133.73392624264082</v>
      </c>
      <c r="AF449" s="98" t="str">
        <f t="shared" si="249"/>
        <v>-0,0000375877424711299</v>
      </c>
      <c r="AG449" s="98" t="str">
        <f t="shared" si="250"/>
        <v>0,00129953898871744i</v>
      </c>
      <c r="AH449" s="98">
        <f t="shared" si="264"/>
        <v>1.29953898871744E-3</v>
      </c>
      <c r="AI449" s="98">
        <f t="shared" si="265"/>
        <v>1.5707963267948966</v>
      </c>
      <c r="AJ449" s="98" t="str">
        <f t="shared" si="251"/>
        <v>1+1,18534909302417i</v>
      </c>
      <c r="AK449" s="98">
        <f t="shared" si="266"/>
        <v>1.5508231595940338</v>
      </c>
      <c r="AL449" s="98">
        <f t="shared" si="267"/>
        <v>0.87001007587695667</v>
      </c>
      <c r="AM449" s="98" t="str">
        <f t="shared" si="252"/>
        <v>1+92,3660485564219i</v>
      </c>
      <c r="AN449" s="98">
        <f t="shared" si="268"/>
        <v>92.371461642258808</v>
      </c>
      <c r="AO449" s="98">
        <f t="shared" si="269"/>
        <v>1.5599702608602615</v>
      </c>
      <c r="AP449" s="168" t="str">
        <f t="shared" si="270"/>
        <v>-1,09656730350958+1,32873896382253i</v>
      </c>
      <c r="AQ449" s="98">
        <f t="shared" si="271"/>
        <v>4.7246493333844466</v>
      </c>
      <c r="AR449" s="169">
        <f t="shared" si="272"/>
        <v>129.5318066316091</v>
      </c>
      <c r="AS449" s="168" t="str">
        <f t="shared" si="273"/>
        <v>0,218275683387333-0,0160372827142867i</v>
      </c>
      <c r="AT449" s="190">
        <f t="shared" si="274"/>
        <v>-13.196511733056969</v>
      </c>
      <c r="AU449" s="169">
        <f t="shared" si="275"/>
        <v>-4.2021196110316819</v>
      </c>
      <c r="AV449" s="225"/>
      <c r="AX449">
        <f t="shared" si="276"/>
        <v>0</v>
      </c>
      <c r="AY449">
        <f t="shared" si="277"/>
        <v>0</v>
      </c>
    </row>
    <row r="450" spans="14:51" x14ac:dyDescent="0.25">
      <c r="N450" s="170">
        <v>32</v>
      </c>
      <c r="O450" s="199">
        <f t="shared" si="278"/>
        <v>208929.61308540447</v>
      </c>
      <c r="P450" s="189" t="str">
        <f t="shared" si="244"/>
        <v>120,833333333333</v>
      </c>
      <c r="Q450" s="160" t="str">
        <f t="shared" si="245"/>
        <v>1+1170,52959869587i</v>
      </c>
      <c r="R450" s="160">
        <f t="shared" si="253"/>
        <v>1170.5300258528673</v>
      </c>
      <c r="S450" s="160">
        <f t="shared" si="254"/>
        <v>1.5699420128520198</v>
      </c>
      <c r="T450" s="160" t="str">
        <f t="shared" si="246"/>
        <v>1+0,0787646085103756i</v>
      </c>
      <c r="U450" s="160">
        <f t="shared" si="255"/>
        <v>1.003097135652272</v>
      </c>
      <c r="V450" s="160">
        <f t="shared" si="256"/>
        <v>7.8602330505785606E-2</v>
      </c>
      <c r="W450" s="98" t="str">
        <f t="shared" si="247"/>
        <v>1-0,674225048848816i</v>
      </c>
      <c r="X450" s="160">
        <f t="shared" si="257"/>
        <v>1.2060594581094202</v>
      </c>
      <c r="Y450" s="160">
        <f t="shared" si="258"/>
        <v>-0.59321709158756519</v>
      </c>
      <c r="Z450" s="98" t="str">
        <f t="shared" si="248"/>
        <v>0,96392431138511+0,26115230180526i</v>
      </c>
      <c r="AA450" s="160">
        <f t="shared" si="259"/>
        <v>0.99867442283130692</v>
      </c>
      <c r="AB450" s="160">
        <f t="shared" si="260"/>
        <v>0.26457485353650995</v>
      </c>
      <c r="AC450" s="171" t="str">
        <f t="shared" si="261"/>
        <v>-0,0877986528559744-0,0890477152462621i</v>
      </c>
      <c r="AD450" s="190">
        <f t="shared" si="262"/>
        <v>-18.058160408709739</v>
      </c>
      <c r="AE450" s="169">
        <f t="shared" si="263"/>
        <v>-134.59532777474703</v>
      </c>
      <c r="AF450" s="98" t="str">
        <f t="shared" si="249"/>
        <v>-0,0000375877424711299</v>
      </c>
      <c r="AG450" s="98" t="str">
        <f t="shared" si="250"/>
        <v>0,00132980914035018i</v>
      </c>
      <c r="AH450" s="98">
        <f t="shared" si="264"/>
        <v>1.32980914035018E-3</v>
      </c>
      <c r="AI450" s="98">
        <f t="shared" si="265"/>
        <v>1.5707963267948966</v>
      </c>
      <c r="AJ450" s="98" t="str">
        <f t="shared" si="251"/>
        <v>1+1,21295942029799i</v>
      </c>
      <c r="AK450" s="98">
        <f t="shared" si="266"/>
        <v>1.5720275300673447</v>
      </c>
      <c r="AL450" s="98">
        <f t="shared" si="267"/>
        <v>0.88133560271331646</v>
      </c>
      <c r="AM450" s="98" t="str">
        <f t="shared" si="252"/>
        <v>1+94,5175302124509i</v>
      </c>
      <c r="AN450" s="98">
        <f t="shared" si="268"/>
        <v>94.52282008838695</v>
      </c>
      <c r="AO450" s="98">
        <f t="shared" si="269"/>
        <v>1.5602166736047769</v>
      </c>
      <c r="AP450" s="168" t="str">
        <f t="shared" si="270"/>
        <v>-1,06718461025664+1,32271714291291i</v>
      </c>
      <c r="AQ450" s="98">
        <f t="shared" si="271"/>
        <v>4.6066690388593345</v>
      </c>
      <c r="AR450" s="169">
        <f t="shared" si="272"/>
        <v>128.89702015340225</v>
      </c>
      <c r="AS450" s="168" t="str">
        <f t="shared" si="273"/>
        <v>0,211482310622619-0,0211024319679304i</v>
      </c>
      <c r="AT450" s="190">
        <f t="shared" si="274"/>
        <v>-13.451491369850416</v>
      </c>
      <c r="AU450" s="169">
        <f t="shared" si="275"/>
        <v>-5.6983076213448101</v>
      </c>
      <c r="AV450" s="225"/>
      <c r="AX450">
        <f t="shared" si="276"/>
        <v>0</v>
      </c>
      <c r="AY450">
        <f t="shared" si="277"/>
        <v>0</v>
      </c>
    </row>
    <row r="451" spans="14:51" x14ac:dyDescent="0.25">
      <c r="N451" s="170">
        <v>33</v>
      </c>
      <c r="O451" s="199">
        <f t="shared" si="278"/>
        <v>213796.20895022334</v>
      </c>
      <c r="P451" s="189" t="str">
        <f t="shared" si="244"/>
        <v>120,833333333333</v>
      </c>
      <c r="Q451" s="160" t="str">
        <f t="shared" si="245"/>
        <v>1+1197,79473560268i</v>
      </c>
      <c r="R451" s="160">
        <f t="shared" si="253"/>
        <v>1197.7951530364005</v>
      </c>
      <c r="S451" s="160">
        <f t="shared" si="254"/>
        <v>1.5699614594023945</v>
      </c>
      <c r="T451" s="160" t="str">
        <f t="shared" si="246"/>
        <v>1+0,0805992719284042i</v>
      </c>
      <c r="U451" s="160">
        <f t="shared" si="255"/>
        <v>1.0032428632367085</v>
      </c>
      <c r="V451" s="160">
        <f t="shared" si="256"/>
        <v>8.0425418255462261E-2</v>
      </c>
      <c r="W451" s="98" t="str">
        <f t="shared" si="247"/>
        <v>1-0,689929767707141i</v>
      </c>
      <c r="X451" s="160">
        <f t="shared" si="257"/>
        <v>1.2149086732624923</v>
      </c>
      <c r="Y451" s="160">
        <f t="shared" si="258"/>
        <v>-0.60393539706025756</v>
      </c>
      <c r="Z451" s="98" t="str">
        <f t="shared" si="248"/>
        <v>0,962224116560754+0,267235320355311i</v>
      </c>
      <c r="AA451" s="160">
        <f t="shared" si="259"/>
        <v>0.99864406418730056</v>
      </c>
      <c r="AB451" s="160">
        <f t="shared" si="260"/>
        <v>0.2708994228933867</v>
      </c>
      <c r="AC451" s="171" t="str">
        <f t="shared" si="261"/>
        <v>-0,0877708429584336-0,0863471578757797i</v>
      </c>
      <c r="AD451" s="190">
        <f t="shared" si="262"/>
        <v>-18.193136172592411</v>
      </c>
      <c r="AE451" s="169">
        <f t="shared" si="263"/>
        <v>-135.4684715447751</v>
      </c>
      <c r="AF451" s="98" t="str">
        <f t="shared" si="249"/>
        <v>-0,0000375877424711299</v>
      </c>
      <c r="AG451" s="98" t="str">
        <f t="shared" si="250"/>
        <v>0,00136078437439123i</v>
      </c>
      <c r="AH451" s="98">
        <f t="shared" si="264"/>
        <v>1.3607843743912299E-3</v>
      </c>
      <c r="AI451" s="98">
        <f t="shared" si="265"/>
        <v>1.5707963267948966</v>
      </c>
      <c r="AJ451" s="98" t="str">
        <f t="shared" si="251"/>
        <v>1+1,24121287471185i</v>
      </c>
      <c r="AK451" s="98">
        <f t="shared" si="266"/>
        <v>1.5939289194786743</v>
      </c>
      <c r="AL451" s="98">
        <f t="shared" si="267"/>
        <v>0.89261151424979646</v>
      </c>
      <c r="AM451" s="98" t="str">
        <f t="shared" si="252"/>
        <v>1+96,7191263140852i</v>
      </c>
      <c r="AN451" s="98">
        <f t="shared" si="268"/>
        <v>96.724295784254579</v>
      </c>
      <c r="AO451" s="98">
        <f t="shared" si="269"/>
        <v>1.5604574785519496</v>
      </c>
      <c r="AP451" s="168" t="str">
        <f t="shared" si="270"/>
        <v>-1,0380587838578+1,31607404222577i</v>
      </c>
      <c r="AQ451" s="98">
        <f t="shared" si="271"/>
        <v>4.4864711015063072</v>
      </c>
      <c r="AR451" s="169">
        <f t="shared" si="272"/>
        <v>128.26475511935811</v>
      </c>
      <c r="AS451" s="168" t="str">
        <f t="shared" si="273"/>
        <v>0,20475054759989-0,0258795023877596i</v>
      </c>
      <c r="AT451" s="190">
        <f t="shared" si="274"/>
        <v>-13.706665071086093</v>
      </c>
      <c r="AU451" s="169">
        <f t="shared" si="275"/>
        <v>-7.2037164254169799</v>
      </c>
      <c r="AV451" s="225"/>
      <c r="AX451">
        <f t="shared" si="276"/>
        <v>0</v>
      </c>
      <c r="AY451">
        <f t="shared" si="277"/>
        <v>0</v>
      </c>
    </row>
    <row r="452" spans="14:51" x14ac:dyDescent="0.25">
      <c r="N452" s="170">
        <v>34</v>
      </c>
      <c r="O452" s="199">
        <f t="shared" si="278"/>
        <v>218776.16239495538</v>
      </c>
      <c r="P452" s="189" t="str">
        <f t="shared" si="244"/>
        <v>120,833333333333</v>
      </c>
      <c r="Q452" s="160" t="str">
        <f t="shared" si="245"/>
        <v>1+1225,694959133i</v>
      </c>
      <c r="R452" s="160">
        <f t="shared" si="253"/>
        <v>1225.6953670647722</v>
      </c>
      <c r="S452" s="160">
        <f t="shared" si="254"/>
        <v>1.5699804632958498</v>
      </c>
      <c r="T452" s="160" t="str">
        <f t="shared" si="246"/>
        <v>1+0,082476670147267i</v>
      </c>
      <c r="U452" s="160">
        <f t="shared" si="255"/>
        <v>1.0033954360662505</v>
      </c>
      <c r="V452" s="160">
        <f t="shared" si="256"/>
        <v>8.2290416610006897E-2</v>
      </c>
      <c r="W452" s="98" t="str">
        <f t="shared" si="247"/>
        <v>1-0,706000296460606i</v>
      </c>
      <c r="X452" s="160">
        <f t="shared" si="257"/>
        <v>1.2241063755256174</v>
      </c>
      <c r="Y452" s="160">
        <f t="shared" si="258"/>
        <v>-0.6147416673566084</v>
      </c>
      <c r="Z452" s="98" t="str">
        <f t="shared" si="248"/>
        <v>0,960443794022922+0,273460030609492i</v>
      </c>
      <c r="AA452" s="160">
        <f t="shared" si="259"/>
        <v>0.99861537631767394</v>
      </c>
      <c r="AB452" s="160">
        <f t="shared" si="260"/>
        <v>0.27738255481014706</v>
      </c>
      <c r="AC452" s="171" t="str">
        <f t="shared" si="261"/>
        <v>-0,087740806609589-0,0836908750610651i</v>
      </c>
      <c r="AD452" s="190">
        <f t="shared" si="262"/>
        <v>-18.326055120687595</v>
      </c>
      <c r="AE452" s="169">
        <f t="shared" si="263"/>
        <v>-136.35331363026572</v>
      </c>
      <c r="AF452" s="98" t="str">
        <f t="shared" si="249"/>
        <v>-0,0000375877424711299</v>
      </c>
      <c r="AG452" s="98" t="str">
        <f t="shared" si="250"/>
        <v>0,00139248111431969i</v>
      </c>
      <c r="AH452" s="98">
        <f t="shared" si="264"/>
        <v>1.3924811143196901E-3</v>
      </c>
      <c r="AI452" s="98">
        <f t="shared" si="265"/>
        <v>1.5707963267948966</v>
      </c>
      <c r="AJ452" s="98" t="str">
        <f t="shared" si="251"/>
        <v>1+1,27012443662129i</v>
      </c>
      <c r="AK452" s="98">
        <f t="shared" si="266"/>
        <v>1.6165444888720351</v>
      </c>
      <c r="AL452" s="98">
        <f t="shared" si="267"/>
        <v>0.90383232031496052</v>
      </c>
      <c r="AM452" s="98" t="str">
        <f t="shared" si="252"/>
        <v>1+98,9720041767206i</v>
      </c>
      <c r="AN452" s="98">
        <f t="shared" si="268"/>
        <v>98.977055981458648</v>
      </c>
      <c r="AO452" s="98">
        <f t="shared" si="269"/>
        <v>1.560692803267977</v>
      </c>
      <c r="AP452" s="168" t="str">
        <f t="shared" si="270"/>
        <v>-1,00921692623346+1,30882443875435i</v>
      </c>
      <c r="AQ452" s="98">
        <f t="shared" si="271"/>
        <v>4.3640759888974809</v>
      </c>
      <c r="AR452" s="169">
        <f t="shared" si="272"/>
        <v>127.63533340213291</v>
      </c>
      <c r="AS452" s="168" t="str">
        <f t="shared" si="273"/>
        <v>0,198086169732433-0,0303750642837326i</v>
      </c>
      <c r="AT452" s="190">
        <f t="shared" si="274"/>
        <v>-13.961979131790105</v>
      </c>
      <c r="AU452" s="169">
        <f t="shared" si="275"/>
        <v>-8.7179802281327863</v>
      </c>
      <c r="AV452" s="225"/>
      <c r="AX452">
        <f t="shared" si="276"/>
        <v>0</v>
      </c>
      <c r="AY452">
        <f t="shared" si="277"/>
        <v>0</v>
      </c>
    </row>
    <row r="453" spans="14:51" x14ac:dyDescent="0.25">
      <c r="N453" s="170">
        <v>35</v>
      </c>
      <c r="O453" s="199">
        <f t="shared" si="278"/>
        <v>223872.11385683404</v>
      </c>
      <c r="P453" s="189" t="str">
        <f t="shared" si="244"/>
        <v>120,833333333333</v>
      </c>
      <c r="Q453" s="160" t="str">
        <f t="shared" si="245"/>
        <v>1+1254,24506235465i</v>
      </c>
      <c r="R453" s="160">
        <f t="shared" si="253"/>
        <v>1254.2454610007642</v>
      </c>
      <c r="S453" s="160">
        <f t="shared" si="254"/>
        <v>1.5699990346084469</v>
      </c>
      <c r="T453" s="160" t="str">
        <f t="shared" si="246"/>
        <v>1+0,0843977985883498i</v>
      </c>
      <c r="U453" s="160">
        <f t="shared" si="255"/>
        <v>1.0035551745701676</v>
      </c>
      <c r="V453" s="160">
        <f t="shared" si="256"/>
        <v>8.4198262492342968E-2</v>
      </c>
      <c r="W453" s="98" t="str">
        <f t="shared" si="247"/>
        <v>1-0,722445155916275i</v>
      </c>
      <c r="X453" s="160">
        <f t="shared" si="257"/>
        <v>1.2336640560974819</v>
      </c>
      <c r="Y453" s="160">
        <f t="shared" si="258"/>
        <v>-0.62563153694133544</v>
      </c>
      <c r="Z453" s="98" t="str">
        <f t="shared" si="248"/>
        <v>0,95857956746882+0,279829732991574i</v>
      </c>
      <c r="AA453" s="160">
        <f t="shared" si="259"/>
        <v>0.99858873748648191</v>
      </c>
      <c r="AB453" s="160">
        <f t="shared" si="260"/>
        <v>0.28402870506745986</v>
      </c>
      <c r="AC453" s="171" t="str">
        <f t="shared" si="261"/>
        <v>-0,0877084028929613-0,0810773641377545i</v>
      </c>
      <c r="AD453" s="190">
        <f t="shared" si="262"/>
        <v>-18.456885589294536</v>
      </c>
      <c r="AE453" s="169">
        <f t="shared" si="263"/>
        <v>-137.24980609748468</v>
      </c>
      <c r="AF453" s="98" t="str">
        <f t="shared" si="249"/>
        <v>-0,0000375877424711299</v>
      </c>
      <c r="AG453" s="98" t="str">
        <f t="shared" si="250"/>
        <v>0,00142491616616664i</v>
      </c>
      <c r="AH453" s="98">
        <f t="shared" si="264"/>
        <v>1.4249161661666399E-3</v>
      </c>
      <c r="AI453" s="98">
        <f t="shared" si="265"/>
        <v>1.5707963267948966</v>
      </c>
      <c r="AJ453" s="98" t="str">
        <f t="shared" si="251"/>
        <v>1+1,29970943531911i</v>
      </c>
      <c r="AK453" s="98">
        <f t="shared" si="266"/>
        <v>1.6398916477186898</v>
      </c>
      <c r="AL453" s="98">
        <f t="shared" si="267"/>
        <v>0.91499266877378982</v>
      </c>
      <c r="AM453" s="98" t="str">
        <f t="shared" si="252"/>
        <v>1+101,27735830602i</v>
      </c>
      <c r="AN453" s="98">
        <f t="shared" si="268"/>
        <v>101.28229512331343</v>
      </c>
      <c r="AO453" s="98">
        <f t="shared" si="269"/>
        <v>1.560922772420825</v>
      </c>
      <c r="AP453" s="168" t="str">
        <f t="shared" si="270"/>
        <v>-0,980685017808343+1,30098448575085i</v>
      </c>
      <c r="AQ453" s="98">
        <f t="shared" si="271"/>
        <v>4.2395061840002333</v>
      </c>
      <c r="AR453" s="169">
        <f t="shared" si="272"/>
        <v>127.00906879942302</v>
      </c>
      <c r="AS453" s="168" t="str">
        <f t="shared" si="273"/>
        <v>0,191494709541816-0,0345959151404403i</v>
      </c>
      <c r="AT453" s="190">
        <f t="shared" si="274"/>
        <v>-14.217379405294306</v>
      </c>
      <c r="AU453" s="169">
        <f t="shared" si="275"/>
        <v>-10.240737298061623</v>
      </c>
      <c r="AV453" s="225"/>
      <c r="AX453">
        <f t="shared" si="276"/>
        <v>0</v>
      </c>
      <c r="AY453">
        <f t="shared" si="277"/>
        <v>0</v>
      </c>
    </row>
    <row r="454" spans="14:51" x14ac:dyDescent="0.25">
      <c r="N454" s="170">
        <v>36</v>
      </c>
      <c r="O454" s="199">
        <f t="shared" si="278"/>
        <v>229086.76527677779</v>
      </c>
      <c r="P454" s="189" t="str">
        <f t="shared" si="244"/>
        <v>120,833333333333</v>
      </c>
      <c r="Q454" s="160" t="str">
        <f t="shared" si="245"/>
        <v>1+1283,46018291025i</v>
      </c>
      <c r="R454" s="160">
        <f t="shared" si="253"/>
        <v>1283.460572482074</v>
      </c>
      <c r="S454" s="160">
        <f t="shared" si="254"/>
        <v>1.5700171831868903</v>
      </c>
      <c r="T454" s="160" t="str">
        <f t="shared" si="246"/>
        <v>1+0,0863636758593808i</v>
      </c>
      <c r="U454" s="160">
        <f t="shared" si="255"/>
        <v>1.0037224140707153</v>
      </c>
      <c r="V454" s="160">
        <f t="shared" si="256"/>
        <v>8.6149911882127839E-2</v>
      </c>
      <c r="W454" s="98" t="str">
        <f t="shared" si="247"/>
        <v>1-0,7392730653563i</v>
      </c>
      <c r="X454" s="160">
        <f t="shared" si="257"/>
        <v>1.2435934485036901</v>
      </c>
      <c r="Y454" s="160">
        <f t="shared" si="258"/>
        <v>-0.6366004485869472</v>
      </c>
      <c r="Z454" s="98" t="str">
        <f t="shared" si="248"/>
        <v>0,956627482623985+0,286347804802072i</v>
      </c>
      <c r="AA454" s="160">
        <f t="shared" si="259"/>
        <v>0.99856457268744914</v>
      </c>
      <c r="AB454" s="160">
        <f t="shared" si="260"/>
        <v>0.290842482387073</v>
      </c>
      <c r="AC454" s="171" t="str">
        <f t="shared" si="261"/>
        <v>-0,0876734785628158-0,0785051400996409i</v>
      </c>
      <c r="AD454" s="190">
        <f t="shared" si="262"/>
        <v>-18.58559763454576</v>
      </c>
      <c r="AE454" s="169">
        <f t="shared" si="263"/>
        <v>-138.15789768741107</v>
      </c>
      <c r="AF454" s="98" t="str">
        <f t="shared" si="249"/>
        <v>-0,0000375877424711299</v>
      </c>
      <c r="AG454" s="98" t="str">
        <f t="shared" si="250"/>
        <v>0,00145810672742588i</v>
      </c>
      <c r="AH454" s="98">
        <f t="shared" si="264"/>
        <v>1.45810672742588E-3</v>
      </c>
      <c r="AI454" s="98">
        <f t="shared" si="265"/>
        <v>1.5707963267948966</v>
      </c>
      <c r="AJ454" s="98" t="str">
        <f t="shared" si="251"/>
        <v>1+1,32998355716322i</v>
      </c>
      <c r="AK454" s="98">
        <f t="shared" si="266"/>
        <v>1.6639880595498671</v>
      </c>
      <c r="AL454" s="98">
        <f t="shared" si="267"/>
        <v>0.92608735705619172</v>
      </c>
      <c r="AM454" s="98" t="str">
        <f t="shared" si="252"/>
        <v>1+103,636411031257i</v>
      </c>
      <c r="AN454" s="98">
        <f t="shared" si="268"/>
        <v>103.64123547816115</v>
      </c>
      <c r="AO454" s="98">
        <f t="shared" si="269"/>
        <v>1.5611475078458297</v>
      </c>
      <c r="AP454" s="168" t="str">
        <f t="shared" si="270"/>
        <v>-0,952487834154094+1,29257161543798i</v>
      </c>
      <c r="AQ454" s="98">
        <f t="shared" si="271"/>
        <v>4.1127860968145962</v>
      </c>
      <c r="AR454" s="169">
        <f t="shared" si="272"/>
        <v>126.38626637718785</v>
      </c>
      <c r="AS454" s="168" t="str">
        <f t="shared" si="273"/>
        <v>0,18498143746783-0,0385490589535352i</v>
      </c>
      <c r="AT454" s="190">
        <f t="shared" si="274"/>
        <v>-14.472811537731143</v>
      </c>
      <c r="AU454" s="169">
        <f t="shared" si="275"/>
        <v>-11.771631310223153</v>
      </c>
      <c r="AV454" s="225"/>
      <c r="AX454">
        <f t="shared" si="276"/>
        <v>0</v>
      </c>
      <c r="AY454">
        <f t="shared" si="277"/>
        <v>0</v>
      </c>
    </row>
    <row r="455" spans="14:51" x14ac:dyDescent="0.25">
      <c r="N455" s="170">
        <v>37</v>
      </c>
      <c r="O455" s="199">
        <f t="shared" si="278"/>
        <v>234422.88153199267</v>
      </c>
      <c r="P455" s="189" t="str">
        <f t="shared" si="244"/>
        <v>120,833333333333</v>
      </c>
      <c r="Q455" s="160" t="str">
        <f t="shared" si="245"/>
        <v>1+1313,35581104343i</v>
      </c>
      <c r="R455" s="160">
        <f t="shared" si="253"/>
        <v>1313.3561917475192</v>
      </c>
      <c r="S455" s="160">
        <f t="shared" si="254"/>
        <v>1.5700349186537486</v>
      </c>
      <c r="T455" s="160" t="str">
        <f t="shared" si="246"/>
        <v>1+0,088375344294511i</v>
      </c>
      <c r="U455" s="160">
        <f t="shared" si="255"/>
        <v>1.0038975054651613</v>
      </c>
      <c r="V455" s="160">
        <f t="shared" si="256"/>
        <v>8.8146340067018977E-2</v>
      </c>
      <c r="W455" s="98" t="str">
        <f t="shared" si="247"/>
        <v>1-0,756492947161015i</v>
      </c>
      <c r="X455" s="160">
        <f t="shared" si="257"/>
        <v>1.2539065272596512</v>
      </c>
      <c r="Y455" s="160">
        <f t="shared" si="258"/>
        <v>-0.64764366046872124</v>
      </c>
      <c r="Z455" s="98" t="str">
        <f t="shared" si="248"/>
        <v>0,954583398854741+0,293017702008938i</v>
      </c>
      <c r="AA455" s="160">
        <f t="shared" si="259"/>
        <v>0.99854335862779053</v>
      </c>
      <c r="AB455" s="160">
        <f t="shared" si="260"/>
        <v>0.29782865480886056</v>
      </c>
      <c r="AC455" s="171" t="str">
        <f t="shared" si="261"/>
        <v>-0,0876358670416091-0,075972734674574i</v>
      </c>
      <c r="AD455" s="190">
        <f t="shared" si="262"/>
        <v>-18.712163179927042</v>
      </c>
      <c r="AE455" s="169">
        <f t="shared" si="263"/>
        <v>-139.07753457352808</v>
      </c>
      <c r="AF455" s="98" t="str">
        <f t="shared" si="249"/>
        <v>-0,0000375877424711299</v>
      </c>
      <c r="AG455" s="98" t="str">
        <f t="shared" si="250"/>
        <v>0,00149207039617233i</v>
      </c>
      <c r="AH455" s="98">
        <f t="shared" si="264"/>
        <v>1.49207039617233E-3</v>
      </c>
      <c r="AI455" s="98">
        <f t="shared" si="265"/>
        <v>1.5707963267948966</v>
      </c>
      <c r="AJ455" s="98" t="str">
        <f t="shared" si="251"/>
        <v>1+1,36096285389375i</v>
      </c>
      <c r="AK455" s="98">
        <f t="shared" si="266"/>
        <v>1.6888516482150293</v>
      </c>
      <c r="AL455" s="98">
        <f t="shared" si="267"/>
        <v>0.93711134281317809</v>
      </c>
      <c r="AM455" s="98" t="str">
        <f t="shared" si="252"/>
        <v>1+106,050413153413i</v>
      </c>
      <c r="AN455" s="98">
        <f t="shared" si="268"/>
        <v>106.055127787437</v>
      </c>
      <c r="AO455" s="98">
        <f t="shared" si="269"/>
        <v>1.5613671286098318</v>
      </c>
      <c r="AP455" s="168" t="str">
        <f t="shared" si="270"/>
        <v>-0,924648872244784+1,28360443630013i</v>
      </c>
      <c r="AQ455" s="98">
        <f t="shared" si="271"/>
        <v>3.9839419700550116</v>
      </c>
      <c r="AR455" s="169">
        <f t="shared" si="272"/>
        <v>125.76722186277105</v>
      </c>
      <c r="AS455" s="168" t="str">
        <f t="shared" si="273"/>
        <v>0,178551344894354-0,0422416842754207i</v>
      </c>
      <c r="AT455" s="190">
        <f t="shared" si="274"/>
        <v>-14.728221209872011</v>
      </c>
      <c r="AU455" s="169">
        <f t="shared" si="275"/>
        <v>-13.310312710756971</v>
      </c>
      <c r="AV455" s="225"/>
      <c r="AX455">
        <f t="shared" si="276"/>
        <v>0</v>
      </c>
      <c r="AY455">
        <f t="shared" si="277"/>
        <v>0</v>
      </c>
    </row>
    <row r="456" spans="14:51" x14ac:dyDescent="0.25">
      <c r="N456" s="170">
        <v>38</v>
      </c>
      <c r="O456" s="199">
        <f t="shared" si="278"/>
        <v>239883.29190194907</v>
      </c>
      <c r="P456" s="189" t="str">
        <f t="shared" si="244"/>
        <v>120,833333333333</v>
      </c>
      <c r="Q456" s="160" t="str">
        <f t="shared" si="245"/>
        <v>1+1343,94779781195i</v>
      </c>
      <c r="R456" s="160">
        <f t="shared" si="253"/>
        <v>1343.9481698501584</v>
      </c>
      <c r="S456" s="160">
        <f t="shared" si="254"/>
        <v>1.5700522504125562</v>
      </c>
      <c r="T456" s="160" t="str">
        <f t="shared" si="246"/>
        <v>1+0,0904338705069718i</v>
      </c>
      <c r="U456" s="160">
        <f t="shared" si="255"/>
        <v>1.0040808159380756</v>
      </c>
      <c r="V456" s="160">
        <f t="shared" si="256"/>
        <v>9.0188541886645879E-2</v>
      </c>
      <c r="W456" s="98" t="str">
        <f t="shared" si="247"/>
        <v>1-0,774113931539679i</v>
      </c>
      <c r="X456" s="160">
        <f t="shared" si="257"/>
        <v>1.264615506390705</v>
      </c>
      <c r="Y456" s="160">
        <f t="shared" si="258"/>
        <v>-0.65875625424426132</v>
      </c>
      <c r="Z456" s="98" t="str">
        <f t="shared" si="248"/>
        <v>0,952442980385359+0,299842961079956i</v>
      </c>
      <c r="AA456" s="160">
        <f t="shared" si="259"/>
        <v>0.99852562921266153</v>
      </c>
      <c r="AB456" s="160">
        <f t="shared" si="260"/>
        <v>0.30499215632482213</v>
      </c>
      <c r="AC456" s="171" t="str">
        <f t="shared" si="261"/>
        <v>-0,0875953873292173-0,0734786954283031i</v>
      </c>
      <c r="AD456" s="190">
        <f t="shared" si="262"/>
        <v>-18.836556164782692</v>
      </c>
      <c r="AE456" s="169">
        <f t="shared" si="263"/>
        <v>-140.00866119116259</v>
      </c>
      <c r="AF456" s="98" t="str">
        <f t="shared" si="249"/>
        <v>-0,0000375877424711299</v>
      </c>
      <c r="AG456" s="98" t="str">
        <f t="shared" si="250"/>
        <v>0,00152682518039271i</v>
      </c>
      <c r="AH456" s="98">
        <f t="shared" si="264"/>
        <v>1.52682518039271E-3</v>
      </c>
      <c r="AI456" s="98">
        <f t="shared" si="265"/>
        <v>1.5707963267948966</v>
      </c>
      <c r="AJ456" s="98" t="str">
        <f t="shared" si="251"/>
        <v>1+1,39266375114389i</v>
      </c>
      <c r="AK456" s="98">
        <f t="shared" si="266"/>
        <v>1.7145006047680971</v>
      </c>
      <c r="AL456" s="98">
        <f t="shared" si="267"/>
        <v>0.94805975365797523</v>
      </c>
      <c r="AM456" s="98" t="str">
        <f t="shared" si="252"/>
        <v>1+108,520644608366i</v>
      </c>
      <c r="AN456" s="98">
        <f t="shared" si="268"/>
        <v>108.52525192882658</v>
      </c>
      <c r="AO456" s="98">
        <f t="shared" si="269"/>
        <v>1.5615817510738748</v>
      </c>
      <c r="AP456" s="168" t="str">
        <f t="shared" si="270"/>
        <v>-0,897190286659815+1,27410262601094i</v>
      </c>
      <c r="AQ456" s="98">
        <f t="shared" si="271"/>
        <v>3.8530017796199507</v>
      </c>
      <c r="AR456" s="169">
        <f t="shared" si="272"/>
        <v>125.15222109036715</v>
      </c>
      <c r="AS456" s="168" t="str">
        <f t="shared" si="273"/>
        <v>0,172209129469037-0,0456811412078927i</v>
      </c>
      <c r="AT456" s="190">
        <f t="shared" si="274"/>
        <v>-14.983554385162744</v>
      </c>
      <c r="AU456" s="169">
        <f t="shared" si="275"/>
        <v>-14.856440100795432</v>
      </c>
      <c r="AV456" s="225"/>
      <c r="AX456">
        <f t="shared" si="276"/>
        <v>0</v>
      </c>
      <c r="AY456">
        <f t="shared" si="277"/>
        <v>0</v>
      </c>
    </row>
    <row r="457" spans="14:51" x14ac:dyDescent="0.25">
      <c r="N457" s="170">
        <v>39</v>
      </c>
      <c r="O457" s="199">
        <f t="shared" si="278"/>
        <v>245470.89156850305</v>
      </c>
      <c r="P457" s="189" t="str">
        <f t="shared" si="244"/>
        <v>120,833333333333</v>
      </c>
      <c r="Q457" s="160" t="str">
        <f t="shared" si="245"/>
        <v>1+1375,25236349212i</v>
      </c>
      <c r="R457" s="160">
        <f t="shared" si="253"/>
        <v>1375.252727061707</v>
      </c>
      <c r="S457" s="160">
        <f t="shared" si="254"/>
        <v>1.5700691876527999</v>
      </c>
      <c r="T457" s="160" t="str">
        <f t="shared" si="246"/>
        <v>1+0,0925403459546092i</v>
      </c>
      <c r="U457" s="160">
        <f t="shared" si="255"/>
        <v>1.0042727297051328</v>
      </c>
      <c r="V457" s="160">
        <f t="shared" si="256"/>
        <v>9.2277531968258705E-2</v>
      </c>
      <c r="W457" s="98" t="str">
        <f t="shared" si="247"/>
        <v>1-0,792145361371456i</v>
      </c>
      <c r="X457" s="160">
        <f t="shared" si="257"/>
        <v>1.2757328378396138</v>
      </c>
      <c r="Y457" s="160">
        <f t="shared" si="258"/>
        <v>-0.6699331441002917</v>
      </c>
      <c r="Z457" s="98" t="str">
        <f t="shared" si="248"/>
        <v>0,950201687101293+0,306827200857829i</v>
      </c>
      <c r="AA457" s="160">
        <f t="shared" si="259"/>
        <v>0.99851198157878618</v>
      </c>
      <c r="AB457" s="160">
        <f t="shared" si="260"/>
        <v>0.31233809377129823</v>
      </c>
      <c r="AC457" s="171" t="str">
        <f t="shared" si="261"/>
        <v>-0,0875518428168921-0,0710215849008939i</v>
      </c>
      <c r="AD457" s="190">
        <f t="shared" si="262"/>
        <v>-18.958752693435926</v>
      </c>
      <c r="AE457" s="169">
        <f t="shared" si="263"/>
        <v>-140.9512211375073</v>
      </c>
      <c r="AF457" s="98" t="str">
        <f t="shared" si="249"/>
        <v>-0,0000375877424711299</v>
      </c>
      <c r="AG457" s="98" t="str">
        <f t="shared" si="250"/>
        <v>0,00156238950753366i</v>
      </c>
      <c r="AH457" s="98">
        <f t="shared" si="264"/>
        <v>1.56238950753366E-3</v>
      </c>
      <c r="AI457" s="98">
        <f t="shared" si="265"/>
        <v>1.5707963267948966</v>
      </c>
      <c r="AJ457" s="98" t="str">
        <f t="shared" si="251"/>
        <v>1+1,42510305714897i</v>
      </c>
      <c r="AK457" s="98">
        <f t="shared" si="266"/>
        <v>1.7409533949808482</v>
      </c>
      <c r="AL457" s="98">
        <f t="shared" si="267"/>
        <v>0.95892789595859096</v>
      </c>
      <c r="AM457" s="98" t="str">
        <f t="shared" si="252"/>
        <v>1+111,048415145531i</v>
      </c>
      <c r="AN457" s="98">
        <f t="shared" si="268"/>
        <v>111.05291759487545</v>
      </c>
      <c r="AO457" s="98">
        <f t="shared" si="269"/>
        <v>1.5617914889544955</v>
      </c>
      <c r="AP457" s="168" t="str">
        <f t="shared" si="270"/>
        <v>-0,870132835942255+1,26408682106414i</v>
      </c>
      <c r="AQ457" s="98">
        <f t="shared" si="271"/>
        <v>3.7199951306104588</v>
      </c>
      <c r="AR457" s="169">
        <f t="shared" si="272"/>
        <v>124.54153950075808</v>
      </c>
      <c r="AS457" s="168" t="str">
        <f t="shared" si="273"/>
        <v>0,165959182766541-0,048874917581784i</v>
      </c>
      <c r="AT457" s="190">
        <f t="shared" si="274"/>
        <v>-15.238757562825453</v>
      </c>
      <c r="AU457" s="169">
        <f t="shared" si="275"/>
        <v>-16.409681636749241</v>
      </c>
      <c r="AV457" s="225"/>
      <c r="AX457">
        <f t="shared" si="276"/>
        <v>0</v>
      </c>
      <c r="AY457">
        <f t="shared" si="277"/>
        <v>0</v>
      </c>
    </row>
    <row r="458" spans="14:51" x14ac:dyDescent="0.25">
      <c r="N458" s="170">
        <v>40</v>
      </c>
      <c r="O458" s="199">
        <f t="shared" si="278"/>
        <v>251188.64315095844</v>
      </c>
      <c r="P458" s="189" t="str">
        <f t="shared" si="244"/>
        <v>120,833333333333</v>
      </c>
      <c r="Q458" s="160" t="str">
        <f t="shared" si="245"/>
        <v>1+1407,28610617903i</v>
      </c>
      <c r="R458" s="160">
        <f t="shared" si="253"/>
        <v>1407.286461472765</v>
      </c>
      <c r="S458" s="160">
        <f t="shared" si="254"/>
        <v>1.5700857393547891</v>
      </c>
      <c r="T458" s="160" t="str">
        <f t="shared" si="246"/>
        <v>1+0,0946958875185886i</v>
      </c>
      <c r="U458" s="160">
        <f t="shared" si="255"/>
        <v>1.0044736487897197</v>
      </c>
      <c r="V458" s="160">
        <f t="shared" si="256"/>
        <v>9.441434495293631E-2</v>
      </c>
      <c r="W458" s="98" t="str">
        <f t="shared" si="247"/>
        <v>1-0,810596797159119i</v>
      </c>
      <c r="X458" s="160">
        <f t="shared" si="257"/>
        <v>1.287271209794044</v>
      </c>
      <c r="Y458" s="160">
        <f t="shared" si="258"/>
        <v>-0.68116908674000198</v>
      </c>
      <c r="Z458" s="98" t="str">
        <f t="shared" si="248"/>
        <v>0,947854764918992+0,313974124478937i</v>
      </c>
      <c r="AA458" s="160">
        <f t="shared" si="259"/>
        <v>0.99850308273032029</v>
      </c>
      <c r="AB458" s="160">
        <f t="shared" si="260"/>
        <v>0.31987175397863082</v>
      </c>
      <c r="AC458" s="171" t="str">
        <f t="shared" si="261"/>
        <v>-0,0875050199984762-0,0685999797812559i</v>
      </c>
      <c r="AD458" s="190">
        <f t="shared" si="262"/>
        <v>-19.07873118459116</v>
      </c>
      <c r="AE458" s="169">
        <f t="shared" si="263"/>
        <v>-141.90515814081661</v>
      </c>
      <c r="AF458" s="98" t="str">
        <f t="shared" si="249"/>
        <v>-0,0000375877424711299</v>
      </c>
      <c r="AG458" s="98" t="str">
        <f t="shared" si="250"/>
        <v>0,00159878223427217i</v>
      </c>
      <c r="AH458" s="98">
        <f t="shared" si="264"/>
        <v>1.59878223427217E-3</v>
      </c>
      <c r="AI458" s="98">
        <f t="shared" si="265"/>
        <v>1.5707963267948966</v>
      </c>
      <c r="AJ458" s="98" t="str">
        <f t="shared" si="251"/>
        <v>1+1,45829797165842i</v>
      </c>
      <c r="AK458" s="98">
        <f t="shared" si="266"/>
        <v>1.7682287674797799</v>
      </c>
      <c r="AL458" s="98">
        <f t="shared" si="267"/>
        <v>0.9697112626576756</v>
      </c>
      <c r="AM458" s="98" t="str">
        <f t="shared" si="252"/>
        <v>1+113,635065022306i</v>
      </c>
      <c r="AN458" s="98">
        <f t="shared" si="268"/>
        <v>113.63946498740528</v>
      </c>
      <c r="AO458" s="98">
        <f t="shared" si="269"/>
        <v>1.5619964533836412</v>
      </c>
      <c r="AP458" s="168" t="str">
        <f t="shared" si="270"/>
        <v>-0,843495839196894+1,25357850416993i</v>
      </c>
      <c r="AQ458" s="98">
        <f t="shared" si="271"/>
        <v>3.5849531496736109</v>
      </c>
      <c r="AR458" s="169">
        <f t="shared" si="272"/>
        <v>123.93544169669876</v>
      </c>
      <c r="AS458" s="168" t="str">
        <f t="shared" si="273"/>
        <v>0,15980558031783-0,0518306145625692i</v>
      </c>
      <c r="AT458" s="190">
        <f t="shared" si="274"/>
        <v>-15.493778034917543</v>
      </c>
      <c r="AU458" s="169">
        <f t="shared" si="275"/>
        <v>-17.969716444117847</v>
      </c>
      <c r="AV458" s="225"/>
      <c r="AX458">
        <f t="shared" si="276"/>
        <v>0</v>
      </c>
      <c r="AY458">
        <f t="shared" si="277"/>
        <v>0</v>
      </c>
    </row>
    <row r="459" spans="14:51" x14ac:dyDescent="0.25">
      <c r="N459" s="170">
        <v>41</v>
      </c>
      <c r="O459" s="199">
        <f t="shared" si="278"/>
        <v>257039.57827688678</v>
      </c>
      <c r="P459" s="189" t="str">
        <f t="shared" si="244"/>
        <v>120,833333333333</v>
      </c>
      <c r="Q459" s="160" t="str">
        <f t="shared" si="245"/>
        <v>1+1440,06601058707i</v>
      </c>
      <c r="R459" s="160">
        <f t="shared" si="253"/>
        <v>1440.0663577933342</v>
      </c>
      <c r="S459" s="160">
        <f t="shared" si="254"/>
        <v>1.5701019142944195</v>
      </c>
      <c r="T459" s="160" t="str">
        <f t="shared" si="246"/>
        <v>1+0,096901638095578i</v>
      </c>
      <c r="U459" s="160">
        <f t="shared" si="255"/>
        <v>1.0046839938336862</v>
      </c>
      <c r="V459" s="160">
        <f t="shared" si="256"/>
        <v>9.6600035711160687E-2</v>
      </c>
      <c r="W459" s="98" t="str">
        <f t="shared" si="247"/>
        <v>1-0,829478022098148i</v>
      </c>
      <c r="X459" s="160">
        <f t="shared" si="257"/>
        <v>1.2992435449690931</v>
      </c>
      <c r="Y459" s="160">
        <f t="shared" si="258"/>
        <v>-0.69245869227502943</v>
      </c>
      <c r="Z459" s="98" t="str">
        <f t="shared" si="248"/>
        <v>0,945397235701851+0,321287521336781i</v>
      </c>
      <c r="AA459" s="160">
        <f t="shared" si="259"/>
        <v>0.99849967683491692</v>
      </c>
      <c r="AB459" s="160">
        <f t="shared" si="260"/>
        <v>0.32759861117508887</v>
      </c>
      <c r="AC459" s="171" t="str">
        <f t="shared" si="261"/>
        <v>-0,0874546870709403-0,0662124701262674i</v>
      </c>
      <c r="AD459" s="190">
        <f t="shared" si="262"/>
        <v>-19.196472520741001</v>
      </c>
      <c r="AE459" s="169">
        <f t="shared" si="263"/>
        <v>-142.87041709660619</v>
      </c>
      <c r="AF459" s="98" t="str">
        <f t="shared" si="249"/>
        <v>-0,0000375877424711299</v>
      </c>
      <c r="AG459" s="98" t="str">
        <f t="shared" si="250"/>
        <v>0,00163602265651368i</v>
      </c>
      <c r="AH459" s="98">
        <f t="shared" si="264"/>
        <v>1.63602265651368E-3</v>
      </c>
      <c r="AI459" s="98">
        <f t="shared" si="265"/>
        <v>1.5707963267948966</v>
      </c>
      <c r="AJ459" s="98" t="str">
        <f t="shared" si="251"/>
        <v>1+1,4922660950553i</v>
      </c>
      <c r="AK459" s="98">
        <f t="shared" si="266"/>
        <v>1.7963457624999688</v>
      </c>
      <c r="AL459" s="98">
        <f t="shared" si="267"/>
        <v>0.98040554010468739</v>
      </c>
      <c r="AM459" s="98" t="str">
        <f t="shared" si="252"/>
        <v>1+116,281965714694i</v>
      </c>
      <c r="AN459" s="98">
        <f t="shared" si="268"/>
        <v>116.28626552810641</v>
      </c>
      <c r="AO459" s="98">
        <f t="shared" si="269"/>
        <v>1.5621967529672407</v>
      </c>
      <c r="AP459" s="168" t="str">
        <f t="shared" si="270"/>
        <v>-0,817297142892957+1,24259989045776i</v>
      </c>
      <c r="AQ459" s="98">
        <f t="shared" si="271"/>
        <v>3.4479083744446455</v>
      </c>
      <c r="AR459" s="169">
        <f t="shared" si="272"/>
        <v>123.33418105482154</v>
      </c>
      <c r="AS459" s="168" t="str">
        <f t="shared" si="273"/>
        <v>0,153752074001515-0,0545559219162845i</v>
      </c>
      <c r="AT459" s="190">
        <f t="shared" si="274"/>
        <v>-15.748564146296339</v>
      </c>
      <c r="AU459" s="169">
        <f t="shared" si="275"/>
        <v>-19.536236041784601</v>
      </c>
      <c r="AV459" s="225"/>
      <c r="AX459">
        <f t="shared" si="276"/>
        <v>0</v>
      </c>
      <c r="AY459">
        <f t="shared" si="277"/>
        <v>0</v>
      </c>
    </row>
    <row r="460" spans="14:51" x14ac:dyDescent="0.25">
      <c r="N460" s="170">
        <v>42</v>
      </c>
      <c r="O460" s="199">
        <f t="shared" si="278"/>
        <v>263026.79918953858</v>
      </c>
      <c r="P460" s="189" t="str">
        <f t="shared" si="244"/>
        <v>120,833333333333</v>
      </c>
      <c r="Q460" s="160" t="str">
        <f t="shared" si="245"/>
        <v>1+1473,60945705545i</v>
      </c>
      <c r="R460" s="160">
        <f t="shared" si="253"/>
        <v>1473.6097963583368</v>
      </c>
      <c r="S460" s="160">
        <f t="shared" si="254"/>
        <v>1.5701177210478243</v>
      </c>
      <c r="T460" s="160" t="str">
        <f t="shared" si="246"/>
        <v>1+0,0991587672037306i</v>
      </c>
      <c r="U460" s="160">
        <f t="shared" si="255"/>
        <v>1.0049042049436172</v>
      </c>
      <c r="V460" s="160">
        <f t="shared" si="256"/>
        <v>9.8835679546484881E-2</v>
      </c>
      <c r="W460" s="98" t="str">
        <f t="shared" si="247"/>
        <v>1-0,848799047263935i</v>
      </c>
      <c r="X460" s="160">
        <f t="shared" si="257"/>
        <v>1.3116629988820161</v>
      </c>
      <c r="Y460" s="160">
        <f t="shared" si="258"/>
        <v>-0.70379643597689157</v>
      </c>
      <c r="Z460" s="98" t="str">
        <f t="shared" si="248"/>
        <v>0,942823886700914+0,32877126909118i</v>
      </c>
      <c r="AA460" s="160">
        <f t="shared" si="259"/>
        <v>0.99850259324332391</v>
      </c>
      <c r="AB460" s="160">
        <f t="shared" si="260"/>
        <v>0.33552433463899273</v>
      </c>
      <c r="AC460" s="171" t="str">
        <f t="shared" si="261"/>
        <v>-0,0874005924158792-0,0638576586321321i</v>
      </c>
      <c r="AD460" s="190">
        <f t="shared" si="262"/>
        <v>-19.31196019736408</v>
      </c>
      <c r="AE460" s="169">
        <f t="shared" si="263"/>
        <v>-143.84694516799291</v>
      </c>
      <c r="AF460" s="98" t="str">
        <f t="shared" si="249"/>
        <v>-0,0000375877424711299</v>
      </c>
      <c r="AG460" s="98" t="str">
        <f t="shared" si="250"/>
        <v>0,00167413051962299i</v>
      </c>
      <c r="AH460" s="98">
        <f t="shared" si="264"/>
        <v>1.6741305196229901E-3</v>
      </c>
      <c r="AI460" s="98">
        <f t="shared" si="265"/>
        <v>1.5707963267948966</v>
      </c>
      <c r="AJ460" s="98" t="str">
        <f t="shared" si="251"/>
        <v>1+1,52702543768825i</v>
      </c>
      <c r="AK460" s="98">
        <f t="shared" si="266"/>
        <v>1.8253237212469988</v>
      </c>
      <c r="AL460" s="98">
        <f t="shared" si="267"/>
        <v>0.99100661389434241</v>
      </c>
      <c r="AM460" s="98" t="str">
        <f t="shared" si="252"/>
        <v>1+118,990520644477i</v>
      </c>
      <c r="AN460" s="98">
        <f t="shared" si="268"/>
        <v>118.99472258568321</v>
      </c>
      <c r="AO460" s="98">
        <f t="shared" si="269"/>
        <v>1.5623924938424594</v>
      </c>
      <c r="AP460" s="168" t="str">
        <f t="shared" si="270"/>
        <v>-0,791553097723532+1,23117381349268i</v>
      </c>
      <c r="AQ460" s="98">
        <f t="shared" si="271"/>
        <v>3.3088946408584183</v>
      </c>
      <c r="AR460" s="169">
        <f t="shared" si="272"/>
        <v>122.7379993943958</v>
      </c>
      <c r="AS460" s="168" t="str">
        <f t="shared" si="273"/>
        <v>0,147802086768497-0,0570585931625414i</v>
      </c>
      <c r="AT460" s="190">
        <f t="shared" si="274"/>
        <v>-16.003065556505653</v>
      </c>
      <c r="AU460" s="169">
        <f t="shared" si="275"/>
        <v>-21.108945773597085</v>
      </c>
      <c r="AV460" s="225"/>
      <c r="AX460">
        <f t="shared" si="276"/>
        <v>0</v>
      </c>
      <c r="AY460">
        <f t="shared" si="277"/>
        <v>0</v>
      </c>
    </row>
    <row r="461" spans="14:51" x14ac:dyDescent="0.25">
      <c r="N461" s="170">
        <v>43</v>
      </c>
      <c r="O461" s="199">
        <f t="shared" si="278"/>
        <v>269153.48039269145</v>
      </c>
      <c r="P461" s="189" t="str">
        <f t="shared" si="244"/>
        <v>120,833333333333</v>
      </c>
      <c r="Q461" s="160" t="str">
        <f t="shared" si="245"/>
        <v>1+1507,93423076349i</v>
      </c>
      <c r="R461" s="160">
        <f t="shared" si="253"/>
        <v>1507.9345623429015</v>
      </c>
      <c r="S461" s="160">
        <f t="shared" si="254"/>
        <v>1.5701331679959214</v>
      </c>
      <c r="T461" s="160" t="str">
        <f t="shared" si="246"/>
        <v>1+0,101468471602776i</v>
      </c>
      <c r="U461" s="160">
        <f t="shared" si="255"/>
        <v>1.0051347425740507</v>
      </c>
      <c r="V461" s="160">
        <f t="shared" si="256"/>
        <v>0.10112237238591092</v>
      </c>
      <c r="W461" s="98" t="str">
        <f t="shared" si="247"/>
        <v>1-0,868570116919767i</v>
      </c>
      <c r="X461" s="160">
        <f t="shared" si="257"/>
        <v>1.3245429581580273</v>
      </c>
      <c r="Y461" s="160">
        <f t="shared" si="258"/>
        <v>-0.71517667083357328</v>
      </c>
      <c r="Z461" s="98" t="str">
        <f t="shared" si="248"/>
        <v>0,940129259497934+0,336429335724256i</v>
      </c>
      <c r="AA461" s="160">
        <f t="shared" si="259"/>
        <v>0.99851275530160244</v>
      </c>
      <c r="AB461" s="160">
        <f t="shared" si="260"/>
        <v>0.34365479658944059</v>
      </c>
      <c r="AC461" s="171" t="str">
        <f t="shared" si="261"/>
        <v>-0,0873424629531692-0,0615341599668909i</v>
      </c>
      <c r="AD461" s="190">
        <f t="shared" si="262"/>
        <v>-19.425180471778379</v>
      </c>
      <c r="AE461" s="169">
        <f t="shared" si="263"/>
        <v>-144.83469294659128</v>
      </c>
      <c r="AF461" s="98" t="str">
        <f t="shared" si="249"/>
        <v>-0,0000375877424711299</v>
      </c>
      <c r="AG461" s="98" t="str">
        <f t="shared" si="250"/>
        <v>0,00171312602889354i</v>
      </c>
      <c r="AH461" s="98">
        <f t="shared" si="264"/>
        <v>1.71312602889354E-3</v>
      </c>
      <c r="AI461" s="98">
        <f t="shared" si="265"/>
        <v>1.5707963267948966</v>
      </c>
      <c r="AJ461" s="98" t="str">
        <f t="shared" si="251"/>
        <v>1+1,56259442942084i</v>
      </c>
      <c r="AK461" s="98">
        <f t="shared" si="266"/>
        <v>1.8551822958558657</v>
      </c>
      <c r="AL461" s="98">
        <f t="shared" si="267"/>
        <v>1.0015105737139243</v>
      </c>
      <c r="AM461" s="98" t="str">
        <f t="shared" si="252"/>
        <v>1+121,762165923332i</v>
      </c>
      <c r="AN461" s="98">
        <f t="shared" si="268"/>
        <v>121.76627221994204</v>
      </c>
      <c r="AO461" s="98">
        <f t="shared" si="269"/>
        <v>1.5625837797336679</v>
      </c>
      <c r="AP461" s="168" t="str">
        <f t="shared" si="270"/>
        <v>-0,766278545269119+1,21932361206457i</v>
      </c>
      <c r="AQ461" s="98">
        <f t="shared" si="271"/>
        <v>3.1679469690821693</v>
      </c>
      <c r="AR461" s="169">
        <f t="shared" si="272"/>
        <v>122.14712670280535</v>
      </c>
      <c r="AS461" s="168" t="str">
        <f t="shared" si="273"/>
        <v>0,141958709648165-0,0593464208308878i</v>
      </c>
      <c r="AT461" s="190">
        <f t="shared" si="274"/>
        <v>-16.257233502696202</v>
      </c>
      <c r="AU461" s="169">
        <f t="shared" si="275"/>
        <v>-22.687566243785934</v>
      </c>
      <c r="AV461" s="225"/>
      <c r="AX461">
        <f t="shared" si="276"/>
        <v>0</v>
      </c>
      <c r="AY461">
        <f t="shared" si="277"/>
        <v>0</v>
      </c>
    </row>
    <row r="462" spans="14:51" x14ac:dyDescent="0.25">
      <c r="N462" s="170">
        <v>44</v>
      </c>
      <c r="O462" s="199">
        <f t="shared" si="278"/>
        <v>275422.87033381703</v>
      </c>
      <c r="P462" s="189" t="str">
        <f t="shared" si="244"/>
        <v>120,833333333333</v>
      </c>
      <c r="Q462" s="160" t="str">
        <f t="shared" si="245"/>
        <v>1+1543,05853116055i</v>
      </c>
      <c r="R462" s="160">
        <f t="shared" si="253"/>
        <v>1543.0588551922945</v>
      </c>
      <c r="S462" s="160">
        <f t="shared" si="254"/>
        <v>1.5701482633288579</v>
      </c>
      <c r="T462" s="160" t="str">
        <f t="shared" si="246"/>
        <v>1+0,10383197592856i</v>
      </c>
      <c r="U462" s="160">
        <f t="shared" si="255"/>
        <v>1.0053760884491081</v>
      </c>
      <c r="V462" s="160">
        <f t="shared" si="256"/>
        <v>0.10346123095552058</v>
      </c>
      <c r="W462" s="98" t="str">
        <f t="shared" si="247"/>
        <v>1-0,888801713948474i</v>
      </c>
      <c r="X462" s="160">
        <f t="shared" si="257"/>
        <v>1.3378970389076077</v>
      </c>
      <c r="Y462" s="160">
        <f t="shared" si="258"/>
        <v>-0.72659364084836564</v>
      </c>
      <c r="Z462" s="98" t="str">
        <f t="shared" si="248"/>
        <v>0,93730763842734+0,344265781644301i</v>
      </c>
      <c r="AA462" s="160">
        <f t="shared" si="259"/>
        <v>0.99853119003133739</v>
      </c>
      <c r="AB462" s="160">
        <f t="shared" si="260"/>
        <v>0.35199608030195645</v>
      </c>
      <c r="AC462" s="171" t="str">
        <f t="shared" si="261"/>
        <v>-0,0872800023576268-0,0592406001744566i</v>
      </c>
      <c r="AD462" s="190">
        <f t="shared" si="262"/>
        <v>-19.536122511603907</v>
      </c>
      <c r="AE462" s="169">
        <f t="shared" si="263"/>
        <v>-145.83361566966548</v>
      </c>
      <c r="AF462" s="98" t="str">
        <f t="shared" si="249"/>
        <v>-0,0000375877424711299</v>
      </c>
      <c r="AG462" s="98" t="str">
        <f t="shared" si="250"/>
        <v>0,00175302986026052i</v>
      </c>
      <c r="AH462" s="98">
        <f t="shared" si="264"/>
        <v>1.7530298602605201E-3</v>
      </c>
      <c r="AI462" s="98">
        <f t="shared" si="265"/>
        <v>1.5707963267948966</v>
      </c>
      <c r="AJ462" s="98" t="str">
        <f t="shared" si="251"/>
        <v>1+1,59899192940329i</v>
      </c>
      <c r="AK462" s="98">
        <f t="shared" si="266"/>
        <v>1.8859414599336999</v>
      </c>
      <c r="AL462" s="98">
        <f t="shared" si="267"/>
        <v>1.011913717210128</v>
      </c>
      <c r="AM462" s="98" t="str">
        <f t="shared" si="252"/>
        <v>1+124,598371114272i</v>
      </c>
      <c r="AN462" s="98">
        <f t="shared" si="268"/>
        <v>124.60238394320491</v>
      </c>
      <c r="AO462" s="98">
        <f t="shared" si="269"/>
        <v>1.5627707120071521</v>
      </c>
      <c r="AP462" s="168" t="str">
        <f t="shared" si="270"/>
        <v>-0,741486814117532+1,20707301865197i</v>
      </c>
      <c r="AQ462" s="98">
        <f t="shared" si="271"/>
        <v>3.0251014488012857</v>
      </c>
      <c r="AR462" s="169">
        <f t="shared" si="272"/>
        <v>121.56178091712952</v>
      </c>
      <c r="AS462" s="168" t="str">
        <f t="shared" si="273"/>
        <v>0,136224700963663-0,0614272120240033i</v>
      </c>
      <c r="AT462" s="190">
        <f t="shared" si="274"/>
        <v>-16.51102106280263</v>
      </c>
      <c r="AU462" s="169">
        <f t="shared" si="275"/>
        <v>-24.271834752535987</v>
      </c>
      <c r="AV462" s="225"/>
      <c r="AX462">
        <f t="shared" si="276"/>
        <v>0</v>
      </c>
      <c r="AY462">
        <f t="shared" si="277"/>
        <v>0</v>
      </c>
    </row>
    <row r="463" spans="14:51" x14ac:dyDescent="0.25">
      <c r="N463" s="170">
        <v>45</v>
      </c>
      <c r="O463" s="199">
        <f t="shared" si="278"/>
        <v>281838.29312644573</v>
      </c>
      <c r="P463" s="189" t="str">
        <f t="shared" si="244"/>
        <v>120,833333333333</v>
      </c>
      <c r="Q463" s="160" t="str">
        <f t="shared" si="245"/>
        <v>1+1579,00098161563i</v>
      </c>
      <c r="R463" s="160">
        <f t="shared" si="253"/>
        <v>1579.001298271513</v>
      </c>
      <c r="S463" s="160">
        <f t="shared" si="254"/>
        <v>1.5701630150503516</v>
      </c>
      <c r="T463" s="160" t="str">
        <f t="shared" si="246"/>
        <v>1+0,106250533342359i</v>
      </c>
      <c r="U463" s="160">
        <f t="shared" si="255"/>
        <v>1.0056287465240519</v>
      </c>
      <c r="V463" s="160">
        <f t="shared" si="256"/>
        <v>0.10585339293977916</v>
      </c>
      <c r="W463" s="98" t="str">
        <f t="shared" si="247"/>
        <v>1-0,909504565410597i</v>
      </c>
      <c r="X463" s="160">
        <f t="shared" si="257"/>
        <v>1.3517390852167881</v>
      </c>
      <c r="Y463" s="160">
        <f t="shared" si="258"/>
        <v>-0.73804149500979643</v>
      </c>
      <c r="Z463" s="98" t="str">
        <f t="shared" si="248"/>
        <v>0,934353038452538+0,352284761838669i</v>
      </c>
      <c r="AA463" s="160">
        <f t="shared" si="259"/>
        <v>0.9985590387599611</v>
      </c>
      <c r="AB463" s="160">
        <f t="shared" si="260"/>
        <v>0.36055448843053872</v>
      </c>
      <c r="AC463" s="171" t="str">
        <f t="shared" si="261"/>
        <v>-0,0872128891291439-0,0569756161621859i</v>
      </c>
      <c r="AD463" s="190">
        <f t="shared" si="262"/>
        <v>-19.644778542892816</v>
      </c>
      <c r="AE463" s="169">
        <f t="shared" si="263"/>
        <v>-146.84367448848755</v>
      </c>
      <c r="AF463" s="98" t="str">
        <f t="shared" si="249"/>
        <v>-0,0000375877424711299</v>
      </c>
      <c r="AG463" s="98" t="str">
        <f t="shared" si="250"/>
        <v>0,0017938631712635i</v>
      </c>
      <c r="AH463" s="98">
        <f t="shared" si="264"/>
        <v>1.7938631712635001E-3</v>
      </c>
      <c r="AI463" s="98">
        <f t="shared" si="265"/>
        <v>1.5707963267948966</v>
      </c>
      <c r="AJ463" s="98" t="str">
        <f t="shared" si="251"/>
        <v>1+1,63623723607187i</v>
      </c>
      <c r="AK463" s="98">
        <f t="shared" si="266"/>
        <v>1.9176215196717292</v>
      </c>
      <c r="AL463" s="98">
        <f t="shared" si="267"/>
        <v>1.0222125528937598</v>
      </c>
      <c r="AM463" s="98" t="str">
        <f t="shared" si="252"/>
        <v>1+127,500640010831i</v>
      </c>
      <c r="AN463" s="98">
        <f t="shared" si="268"/>
        <v>127.50456149946761</v>
      </c>
      <c r="AO463" s="98">
        <f t="shared" si="269"/>
        <v>1.5629533897245911</v>
      </c>
      <c r="AP463" s="168" t="str">
        <f t="shared" si="270"/>
        <v>-0,717189725007623+1,19444605039475i</v>
      </c>
      <c r="AQ463" s="98">
        <f t="shared" si="271"/>
        <v>2.8803951245591031</v>
      </c>
      <c r="AR463" s="169">
        <f t="shared" si="272"/>
        <v>120.98216776077896</v>
      </c>
      <c r="AS463" s="168" t="str">
        <f t="shared" si="273"/>
        <v>0,130602487665381-0,0633087644763232i</v>
      </c>
      <c r="AT463" s="190">
        <f t="shared" si="274"/>
        <v>-16.764383418333729</v>
      </c>
      <c r="AU463" s="169">
        <f t="shared" si="275"/>
        <v>-25.86150672770863</v>
      </c>
      <c r="AV463" s="225"/>
      <c r="AX463">
        <f t="shared" si="276"/>
        <v>0</v>
      </c>
      <c r="AY463">
        <f t="shared" si="277"/>
        <v>0</v>
      </c>
    </row>
    <row r="464" spans="14:51" x14ac:dyDescent="0.25">
      <c r="N464" s="170">
        <v>46</v>
      </c>
      <c r="O464" s="199">
        <f t="shared" si="278"/>
        <v>288403.1503126609</v>
      </c>
      <c r="P464" s="189" t="str">
        <f t="shared" si="244"/>
        <v>120,833333333333</v>
      </c>
      <c r="Q464" s="160" t="str">
        <f t="shared" si="245"/>
        <v>1+1615,7806392917i</v>
      </c>
      <c r="R464" s="160">
        <f t="shared" si="253"/>
        <v>1615.7809487396162</v>
      </c>
      <c r="S464" s="160">
        <f t="shared" si="254"/>
        <v>1.5701774309819347</v>
      </c>
      <c r="T464" s="160" t="str">
        <f t="shared" si="246"/>
        <v>1+0,108725426195329i</v>
      </c>
      <c r="U464" s="160">
        <f t="shared" si="255"/>
        <v>1.005893243988325</v>
      </c>
      <c r="V464" s="160">
        <f t="shared" si="256"/>
        <v>0.10830001712285034</v>
      </c>
      <c r="W464" s="98" t="str">
        <f t="shared" si="247"/>
        <v>1-0,930689648232017i</v>
      </c>
      <c r="X464" s="160">
        <f t="shared" si="257"/>
        <v>1.3660831677925893</v>
      </c>
      <c r="Y464" s="160">
        <f t="shared" si="258"/>
        <v>-0.74951430185393875</v>
      </c>
      <c r="Z464" s="98" t="str">
        <f t="shared" si="248"/>
        <v>0,931259192470853+0,360490528076805i</v>
      </c>
      <c r="AA464" s="160">
        <f t="shared" si="259"/>
        <v>0.99859756879063089</v>
      </c>
      <c r="AB464" s="160">
        <f t="shared" si="260"/>
        <v>0.36933655151180766</v>
      </c>
      <c r="AC464" s="171" t="str">
        <f t="shared" si="261"/>
        <v>-0,0871407745065342-0,0547378552858942i</v>
      </c>
      <c r="AD464" s="190">
        <f t="shared" si="262"/>
        <v>-19.751143998095994</v>
      </c>
      <c r="AE464" s="169">
        <f t="shared" si="263"/>
        <v>-147.86483778209305</v>
      </c>
      <c r="AF464" s="98" t="str">
        <f t="shared" si="249"/>
        <v>-0,0000375877424711299</v>
      </c>
      <c r="AG464" s="98" t="str">
        <f t="shared" si="250"/>
        <v>0,00183564761226447i</v>
      </c>
      <c r="AH464" s="98">
        <f t="shared" si="264"/>
        <v>1.83564761226447E-3</v>
      </c>
      <c r="AI464" s="98">
        <f t="shared" si="265"/>
        <v>1.5707963267948966</v>
      </c>
      <c r="AJ464" s="98" t="str">
        <f t="shared" si="251"/>
        <v>1+1,67435009738118i</v>
      </c>
      <c r="AK464" s="98">
        <f t="shared" si="266"/>
        <v>1.9502431255103467</v>
      </c>
      <c r="AL464" s="98">
        <f t="shared" si="267"/>
        <v>1.0324038021075086</v>
      </c>
      <c r="AM464" s="98" t="str">
        <f t="shared" si="252"/>
        <v>1+130,470511434395i</v>
      </c>
      <c r="AN464" s="98">
        <f t="shared" si="268"/>
        <v>130.47434366170461</v>
      </c>
      <c r="AO464" s="98">
        <f t="shared" si="269"/>
        <v>1.5631319096953311</v>
      </c>
      <c r="AP464" s="168" t="str">
        <f t="shared" si="270"/>
        <v>-0,693397604491134+1,18146690333487i</v>
      </c>
      <c r="AQ464" s="98">
        <f t="shared" si="271"/>
        <v>2.7338658818155364</v>
      </c>
      <c r="AR464" s="169">
        <f t="shared" si="272"/>
        <v>120.40848063374719</v>
      </c>
      <c r="AS464" s="168" t="str">
        <f t="shared" si="273"/>
        <v>0,125094168676151-0,0649988432802157i</v>
      </c>
      <c r="AT464" s="190">
        <f t="shared" si="274"/>
        <v>-17.017278116280433</v>
      </c>
      <c r="AU464" s="169">
        <f t="shared" si="275"/>
        <v>-27.456357148345774</v>
      </c>
      <c r="AV464" s="225"/>
      <c r="AX464">
        <f t="shared" si="276"/>
        <v>0</v>
      </c>
      <c r="AY464">
        <f t="shared" si="277"/>
        <v>0</v>
      </c>
    </row>
    <row r="465" spans="14:51" x14ac:dyDescent="0.25">
      <c r="N465" s="170">
        <v>47</v>
      </c>
      <c r="O465" s="199">
        <f t="shared" si="278"/>
        <v>295120.92266663886</v>
      </c>
      <c r="P465" s="189" t="str">
        <f t="shared" si="244"/>
        <v>120,833333333333</v>
      </c>
      <c r="Q465" s="160" t="str">
        <f t="shared" si="245"/>
        <v>1+1653,41700525012i</v>
      </c>
      <c r="R465" s="160">
        <f t="shared" si="253"/>
        <v>1653.4173076541431</v>
      </c>
      <c r="S465" s="160">
        <f t="shared" si="254"/>
        <v>1.5701915187671009</v>
      </c>
      <c r="T465" s="160" t="str">
        <f t="shared" si="246"/>
        <v>1+0,111257966708418i</v>
      </c>
      <c r="U465" s="160">
        <f t="shared" si="255"/>
        <v>1.0061701323116741</v>
      </c>
      <c r="V465" s="160">
        <f t="shared" si="256"/>
        <v>0.11080228351010878</v>
      </c>
      <c r="W465" s="98" t="str">
        <f t="shared" si="247"/>
        <v>1-0,952368195024062i</v>
      </c>
      <c r="X465" s="160">
        <f t="shared" si="257"/>
        <v>1.3809435828061152</v>
      </c>
      <c r="Y465" s="160">
        <f t="shared" si="258"/>
        <v>-0.76100606453360908</v>
      </c>
      <c r="Z465" s="98" t="str">
        <f t="shared" si="248"/>
        <v>0,928019538020158+0,368887431164582i</v>
      </c>
      <c r="AA465" s="160">
        <f t="shared" si="259"/>
        <v>0.99864818620891294</v>
      </c>
      <c r="AB465" s="160">
        <f t="shared" si="260"/>
        <v>0.37834903662030428</v>
      </c>
      <c r="AC465" s="171" t="str">
        <f t="shared" si="261"/>
        <v>-0,0870632802151467-0,0525259750482925i</v>
      </c>
      <c r="AD465" s="190">
        <f t="shared" si="262"/>
        <v>-19.855217664161515</v>
      </c>
      <c r="AE465" s="169">
        <f t="shared" si="263"/>
        <v>-148.89708250987081</v>
      </c>
      <c r="AF465" s="98" t="str">
        <f t="shared" si="249"/>
        <v>-0,0000375877424711299</v>
      </c>
      <c r="AG465" s="98" t="str">
        <f t="shared" si="250"/>
        <v>0,00187840533792713i</v>
      </c>
      <c r="AH465" s="98">
        <f t="shared" si="264"/>
        <v>1.8784053379271299E-3</v>
      </c>
      <c r="AI465" s="98">
        <f t="shared" si="265"/>
        <v>1.5707963267948966</v>
      </c>
      <c r="AJ465" s="98" t="str">
        <f t="shared" si="251"/>
        <v>1+1,71335072127475i</v>
      </c>
      <c r="AK465" s="98">
        <f t="shared" si="266"/>
        <v>1.9838272843402234</v>
      </c>
      <c r="AL465" s="98">
        <f t="shared" si="267"/>
        <v>1.042484400088326</v>
      </c>
      <c r="AM465" s="98" t="str">
        <f t="shared" si="252"/>
        <v>1+133,509560050102i</v>
      </c>
      <c r="AN465" s="98">
        <f t="shared" si="268"/>
        <v>133.51330504774344</v>
      </c>
      <c r="AO465" s="98">
        <f t="shared" si="269"/>
        <v>1.5633063665274831</v>
      </c>
      <c r="AP465" s="168" t="str">
        <f t="shared" si="270"/>
        <v>-0,670119306545321+1,16815985060436i</v>
      </c>
      <c r="AQ465" s="98">
        <f t="shared" si="271"/>
        <v>2.5855523343496483</v>
      </c>
      <c r="AR465" s="169">
        <f t="shared" si="272"/>
        <v>119.84090055466787</v>
      </c>
      <c r="AS465" s="168" t="str">
        <f t="shared" si="273"/>
        <v>0,119701520128597-0,0665051584342727i</v>
      </c>
      <c r="AT465" s="190">
        <f t="shared" si="274"/>
        <v>-17.269665329811854</v>
      </c>
      <c r="AU465" s="169">
        <f t="shared" si="275"/>
        <v>-29.056181955202884</v>
      </c>
      <c r="AV465" s="225"/>
      <c r="AX465">
        <f t="shared" si="276"/>
        <v>0</v>
      </c>
      <c r="AY465">
        <f t="shared" si="277"/>
        <v>0</v>
      </c>
    </row>
    <row r="466" spans="14:51" x14ac:dyDescent="0.25">
      <c r="N466" s="170">
        <v>48</v>
      </c>
      <c r="O466" s="199">
        <f t="shared" si="278"/>
        <v>301995.17204020242</v>
      </c>
      <c r="P466" s="189" t="str">
        <f t="shared" si="244"/>
        <v>120,833333333333</v>
      </c>
      <c r="Q466" s="160" t="str">
        <f t="shared" si="245"/>
        <v>1+1691,93003479027i</v>
      </c>
      <c r="R466" s="160">
        <f t="shared" si="253"/>
        <v>1691.9303303107386</v>
      </c>
      <c r="S466" s="160">
        <f t="shared" si="254"/>
        <v>1.5702052858753583</v>
      </c>
      <c r="T466" s="160" t="str">
        <f t="shared" si="246"/>
        <v>1+0,11384949766813i</v>
      </c>
      <c r="U466" s="160">
        <f t="shared" si="255"/>
        <v>1.0064599883349985</v>
      </c>
      <c r="V466" s="160">
        <f t="shared" si="256"/>
        <v>0.11336139342796903</v>
      </c>
      <c r="W466" s="98" t="str">
        <f t="shared" si="247"/>
        <v>1-0,974551700039193i</v>
      </c>
      <c r="X466" s="160">
        <f t="shared" si="257"/>
        <v>1.3963348509756823</v>
      </c>
      <c r="Y466" s="160">
        <f t="shared" si="258"/>
        <v>-0.77251073630308031</v>
      </c>
      <c r="Z466" s="98" t="str">
        <f t="shared" si="248"/>
        <v>0,924627203359015+0,377479923251166i</v>
      </c>
      <c r="AA466" s="160">
        <f t="shared" si="259"/>
        <v>0.99871244993202102</v>
      </c>
      <c r="AB466" s="160">
        <f t="shared" si="260"/>
        <v>0.38759895613619499</v>
      </c>
      <c r="AC466" s="171" t="str">
        <f t="shared" si="261"/>
        <v>-0,0869799960382668-0,0503386429292123i</v>
      </c>
      <c r="AD466" s="190">
        <f t="shared" si="262"/>
        <v>-19.957001831192809</v>
      </c>
      <c r="AE466" s="169">
        <f t="shared" si="263"/>
        <v>-149.94039559563663</v>
      </c>
      <c r="AF466" s="98" t="str">
        <f t="shared" si="249"/>
        <v>-0,0000375877424711299</v>
      </c>
      <c r="AG466" s="98" t="str">
        <f t="shared" si="250"/>
        <v>0,0019221590189636i</v>
      </c>
      <c r="AH466" s="98">
        <f t="shared" si="264"/>
        <v>1.9221590189635999E-3</v>
      </c>
      <c r="AI466" s="98">
        <f t="shared" si="265"/>
        <v>1.5707963267948966</v>
      </c>
      <c r="AJ466" s="98" t="str">
        <f t="shared" si="251"/>
        <v>1+1,75325978639963i</v>
      </c>
      <c r="AK466" s="98">
        <f t="shared" si="266"/>
        <v>2.0183953722217249</v>
      </c>
      <c r="AL466" s="98">
        <f t="shared" si="267"/>
        <v>1.0524514961615385</v>
      </c>
      <c r="AM466" s="98" t="str">
        <f t="shared" si="252"/>
        <v>1+136,619397201756i</v>
      </c>
      <c r="AN466" s="98">
        <f t="shared" si="268"/>
        <v>136.62305695515369</v>
      </c>
      <c r="AO466" s="98">
        <f t="shared" si="269"/>
        <v>1.5634768526778671</v>
      </c>
      <c r="AP466" s="168" t="str">
        <f t="shared" si="270"/>
        <v>-0,64736224151955+1,15454914515535i</v>
      </c>
      <c r="AQ466" s="98">
        <f t="shared" si="271"/>
        <v>2.4354937135864145</v>
      </c>
      <c r="AR466" s="169">
        <f t="shared" si="272"/>
        <v>119.27959615255385</v>
      </c>
      <c r="AS466" s="168" t="str">
        <f t="shared" si="273"/>
        <v>0,114426002364896-0,0678353433498895i</v>
      </c>
      <c r="AT466" s="190">
        <f t="shared" si="274"/>
        <v>-17.52150811760642</v>
      </c>
      <c r="AU466" s="169">
        <f t="shared" si="275"/>
        <v>-30.66079944308288</v>
      </c>
      <c r="AV466" s="225"/>
      <c r="AX466">
        <f t="shared" si="276"/>
        <v>0</v>
      </c>
      <c r="AY466">
        <f t="shared" si="277"/>
        <v>0</v>
      </c>
    </row>
    <row r="467" spans="14:51" x14ac:dyDescent="0.25">
      <c r="N467" s="170">
        <v>49</v>
      </c>
      <c r="O467" s="199">
        <f t="shared" si="278"/>
        <v>309029.54325135931</v>
      </c>
      <c r="P467" s="189" t="str">
        <f t="shared" ref="P467:P530" si="279">COMPLEX(Adc,0)</f>
        <v>120,833333333333</v>
      </c>
      <c r="Q467" s="160" t="str">
        <f t="shared" ref="Q467:Q530" si="280">IMSUM(COMPLEX(1,0),IMDIV(COMPLEX(0,2*PI()*O467),COMPLEX(wp_lf,0)))</f>
        <v>1+1731,34014803022i</v>
      </c>
      <c r="R467" s="160">
        <f t="shared" si="253"/>
        <v>1731.3404368238223</v>
      </c>
      <c r="S467" s="160">
        <f t="shared" si="254"/>
        <v>1.5702187396061889</v>
      </c>
      <c r="T467" s="160" t="str">
        <f t="shared" ref="T467:T530" si="281">IMSUM(COMPLEX(1,0),IMDIV(COMPLEX(0,2*PI()*O467),COMPLEX(wz_esr,0)))</f>
        <v>1+0,116501393138481i</v>
      </c>
      <c r="U467" s="160">
        <f t="shared" si="255"/>
        <v>1.0067634154076155</v>
      </c>
      <c r="V467" s="160">
        <f t="shared" si="256"/>
        <v>0.11597856959996909</v>
      </c>
      <c r="W467" s="98" t="str">
        <f t="shared" ref="W467:W530" si="282">IMSUB(COMPLEX(1,0),IMDIV(COMPLEX(0,2*PI()*O467),COMPLEX(wz_rhp,0)))</f>
        <v>1-0,997251925265401i</v>
      </c>
      <c r="X467" s="160">
        <f t="shared" si="257"/>
        <v>1.4122717169318193</v>
      </c>
      <c r="Y467" s="160">
        <f t="shared" si="258"/>
        <v>-0.7840222363220305</v>
      </c>
      <c r="Z467" s="98" t="str">
        <f t="shared" ref="Z467:Z530" si="283">IF(Dc_Mode_Loop="CCM",IMSUM(COMPLEX(1,0),IMDIV(COMPLEX(0,2*PI()*O467),COMPLEX(Q*(wsl/2),0)),IMDIV(IMPOWER(COMPLEX(0,2*PI()*O467),2),IMPOWER(COMPLEX(wsl/2,0),2))),COMPLEX(1,0))</f>
        <v>0,92107499289079+0,386272560189595i</v>
      </c>
      <c r="AA467" s="160">
        <f t="shared" si="259"/>
        <v>0.99879208711532808</v>
      </c>
      <c r="AB467" s="160">
        <f t="shared" si="260"/>
        <v>0.39709357657752453</v>
      </c>
      <c r="AC467" s="171" t="str">
        <f t="shared" si="261"/>
        <v>-0,0868904772024411-0,0481745363686277i</v>
      </c>
      <c r="AD467" s="190">
        <f t="shared" si="262"/>
        <v>-20.056502442237495</v>
      </c>
      <c r="AE467" s="169">
        <f t="shared" si="263"/>
        <v>-150.99477533505188</v>
      </c>
      <c r="AF467" s="98" t="str">
        <f t="shared" ref="AF467:AF530" si="284">COMPLEX(Adc_ea,0)</f>
        <v>-0,0000375877424711299</v>
      </c>
      <c r="AG467" s="98" t="str">
        <f t="shared" ref="AG467:AG530" si="285">COMPLEX(0,2*PI()*O467*wp0_ea)</f>
        <v>0,0019669318541547i</v>
      </c>
      <c r="AH467" s="98">
        <f t="shared" si="264"/>
        <v>1.9669318541547E-3</v>
      </c>
      <c r="AI467" s="98">
        <f t="shared" si="265"/>
        <v>1.5707963267948966</v>
      </c>
      <c r="AJ467" s="98" t="str">
        <f t="shared" ref="AJ467:AJ530" si="286">IMSUM(COMPLEX(1,0),IMDIV(COMPLEX(0,2*PI()*O467),COMPLEX(wp1_ea,0)))</f>
        <v>1+1,79409845307039i</v>
      </c>
      <c r="AK467" s="98">
        <f t="shared" si="266"/>
        <v>2.0539691476041133</v>
      </c>
      <c r="AL467" s="98">
        <f t="shared" si="267"/>
        <v>1.0623024531085343</v>
      </c>
      <c r="AM467" s="98" t="str">
        <f t="shared" ref="AM467:AM530" si="287">IMSUM(COMPLEX(1,0),IMDIV(COMPLEX(0,2*PI()*O467),COMPLEX(wz_ea,0)))</f>
        <v>1+139,801671766178i</v>
      </c>
      <c r="AN467" s="98">
        <f t="shared" si="268"/>
        <v>139.8052482155737</v>
      </c>
      <c r="AO467" s="98">
        <f t="shared" si="269"/>
        <v>1.5636434585008319</v>
      </c>
      <c r="AP467" s="168" t="str">
        <f t="shared" si="270"/>
        <v>-0,625132411761449+1,14065892754034i</v>
      </c>
      <c r="AQ467" s="98">
        <f t="shared" si="271"/>
        <v>2.2837297603782551</v>
      </c>
      <c r="AR467" s="169">
        <f t="shared" si="272"/>
        <v>118.72472370582403</v>
      </c>
      <c r="AS467" s="168" t="str">
        <f t="shared" si="273"/>
        <v>0,109268768561657-0,0689969344335949i</v>
      </c>
      <c r="AT467" s="190">
        <f t="shared" si="274"/>
        <v>-17.772772681859252</v>
      </c>
      <c r="AU467" s="169">
        <f t="shared" si="275"/>
        <v>-32.270051629227879</v>
      </c>
      <c r="AV467" s="225"/>
      <c r="AX467">
        <f t="shared" si="276"/>
        <v>0</v>
      </c>
      <c r="AY467">
        <f t="shared" si="277"/>
        <v>0</v>
      </c>
    </row>
    <row r="468" spans="14:51" x14ac:dyDescent="0.25">
      <c r="N468" s="170">
        <v>50</v>
      </c>
      <c r="O468" s="199">
        <f t="shared" si="278"/>
        <v>316227.7660168382</v>
      </c>
      <c r="P468" s="189" t="str">
        <f t="shared" si="279"/>
        <v>120,833333333333</v>
      </c>
      <c r="Q468" s="160" t="str">
        <f t="shared" si="280"/>
        <v>1+1771,66824073364i</v>
      </c>
      <c r="R468" s="160">
        <f t="shared" ref="R468:R531" si="288">IMABS(Q468)</f>
        <v>1771.6685229534983</v>
      </c>
      <c r="S468" s="160">
        <f t="shared" ref="S468:S531" si="289">IMARGUMENT(Q468)</f>
        <v>1.5702318870929193</v>
      </c>
      <c r="T468" s="160" t="str">
        <f t="shared" si="281"/>
        <v>1+0,119215059189553i</v>
      </c>
      <c r="U468" s="160">
        <f t="shared" ref="U468:U531" si="290">IMABS(T468)</f>
        <v>1.0070810445726643</v>
      </c>
      <c r="V468" s="160">
        <f t="shared" ref="V468:V531" si="291">IMARGUMENT(T468)</f>
        <v>0.11865505619697224</v>
      </c>
      <c r="W468" s="98" t="str">
        <f t="shared" si="282"/>
        <v>1-1,02048090666257i</v>
      </c>
      <c r="X468" s="160">
        <f t="shared" ref="X468:X531" si="292">IMABS(W468)</f>
        <v>1.42876914890505</v>
      </c>
      <c r="Y468" s="160">
        <f t="shared" ref="Y468:Y531" si="293">IMARGUMENT(W468)</f>
        <v>-0.79553446567869257</v>
      </c>
      <c r="Z468" s="98" t="str">
        <f t="shared" si="283"/>
        <v>0,917355371900826+0,395270003952358i</v>
      </c>
      <c r="AA468" s="160">
        <f t="shared" ref="AA468:AA531" si="294">IMABS(Z468)</f>
        <v>0.99888901004055486</v>
      </c>
      <c r="AB468" s="160">
        <f t="shared" ref="AB468:AB531" si="295">IMARGUMENT(Z468)</f>
        <v>0.40684042743872317</v>
      </c>
      <c r="AC468" s="171" t="str">
        <f t="shared" ref="AC468:AC531" si="296">(IMDIV(IMPRODUCT(P468,T468,W468),IMPRODUCT(Q468,Z468)))</f>
        <v>-0,0867942415672171-0,0460323429264603i</v>
      </c>
      <c r="AD468" s="190">
        <f t="shared" ref="AD468:AD531" si="297">20*LOG(IMABS(AC468))</f>
        <v>-20.153729244924158</v>
      </c>
      <c r="AE468" s="169">
        <f t="shared" ref="AE468:AE531" si="298">(180/PI())*IMARGUMENT(AC468)</f>
        <v>-152.06023281743447</v>
      </c>
      <c r="AF468" s="98" t="str">
        <f t="shared" si="284"/>
        <v>-0,0000375877424711299</v>
      </c>
      <c r="AG468" s="98" t="str">
        <f t="shared" si="285"/>
        <v>0,00201274758265029i</v>
      </c>
      <c r="AH468" s="98">
        <f t="shared" ref="AH468:AH531" si="299">IMABS(AG468)</f>
        <v>2.0127475826502901E-3</v>
      </c>
      <c r="AI468" s="98">
        <f t="shared" ref="AI468:AI531" si="300">IMARGUMENT(AG468)</f>
        <v>1.5707963267948966</v>
      </c>
      <c r="AJ468" s="98" t="str">
        <f t="shared" si="286"/>
        <v>1+1,83588837448867i</v>
      </c>
      <c r="AK468" s="98">
        <f t="shared" ref="AK468:AK531" si="301">IMABS(AJ468)</f>
        <v>2.0905707650263001</v>
      </c>
      <c r="AL468" s="98">
        <f t="shared" ref="AL468:AL531" si="302">IMARGUMENT(AJ468)</f>
        <v>1.0720348457540789</v>
      </c>
      <c r="AM468" s="98" t="str">
        <f t="shared" si="287"/>
        <v>1+143,058071027464i</v>
      </c>
      <c r="AN468" s="98">
        <f t="shared" ref="AN468:AN531" si="303">IMABS(AM468)</f>
        <v>143.06156606894439</v>
      </c>
      <c r="AO468" s="98">
        <f t="shared" ref="AO468:AO531" si="304">IMARGUMENT(AM468)</f>
        <v>1.5638062722959722</v>
      </c>
      <c r="AP468" s="168" t="str">
        <f t="shared" ref="AP468:AP531" si="305">IMPRODUCT(AF468,IMDIV(AM468,IMPRODUCT(AG468,AJ468)))</f>
        <v>-0,60343445324192+1,12651313916436i</v>
      </c>
      <c r="AQ468" s="98">
        <f t="shared" ref="AQ468:AQ531" si="306">20*LOG(IMABS(AP468))</f>
        <v>2.1303006197220058</v>
      </c>
      <c r="AR468" s="169">
        <f t="shared" ref="AR468:AR531" si="307">(180/PI())*IMARGUMENT(AP468)</f>
        <v>118.17642722597827</v>
      </c>
      <c r="AS468" s="168" t="str">
        <f t="shared" ref="AS468:AS531" si="308">IMPRODUCT(AC468,AP468)</f>
        <v>0,104230674837838-0,0699973518440024i</v>
      </c>
      <c r="AT468" s="190">
        <f t="shared" ref="AT468:AT531" si="309">20*LOG(IMABS(AS468))</f>
        <v>-18.023428625202143</v>
      </c>
      <c r="AU468" s="169">
        <f t="shared" ref="AU468:AU531" si="310">(180/PI())*IMARGUMENT(AS468)</f>
        <v>-33.883805591456152</v>
      </c>
      <c r="AV468" s="225"/>
      <c r="AX468">
        <f t="shared" ref="AX468:AX531" si="311">SUM((AT469&lt;0)*(AT468&gt;0))*O468</f>
        <v>0</v>
      </c>
      <c r="AY468">
        <f t="shared" ref="AY468:AY531" si="312">IF(AX468&gt;0,AU468,0)</f>
        <v>0</v>
      </c>
    </row>
    <row r="469" spans="14:51" x14ac:dyDescent="0.25">
      <c r="N469" s="170">
        <v>51</v>
      </c>
      <c r="O469" s="199">
        <f t="shared" si="278"/>
        <v>323593.65692962846</v>
      </c>
      <c r="P469" s="189" t="str">
        <f t="shared" si="279"/>
        <v>120,833333333333</v>
      </c>
      <c r="Q469" s="160" t="str">
        <f t="shared" si="280"/>
        <v>1+1812,93569538911i</v>
      </c>
      <c r="R469" s="160">
        <f t="shared" si="288"/>
        <v>1812.9359711848608</v>
      </c>
      <c r="S469" s="160">
        <f t="shared" si="289"/>
        <v>1.5702447353065025</v>
      </c>
      <c r="T469" s="160" t="str">
        <f t="shared" si="281"/>
        <v>1+0,121991934643005i</v>
      </c>
      <c r="U469" s="160">
        <f t="shared" si="290"/>
        <v>1.0074135358024248</v>
      </c>
      <c r="V469" s="160">
        <f t="shared" si="291"/>
        <v>0.12139211885915953</v>
      </c>
      <c r="W469" s="98" t="str">
        <f t="shared" si="282"/>
        <v>1-1,04425096054412i</v>
      </c>
      <c r="X469" s="160">
        <f t="shared" si="292"/>
        <v>1.4458423387760222</v>
      </c>
      <c r="Y469" s="160">
        <f t="shared" si="293"/>
        <v>-0.80704132352954339</v>
      </c>
      <c r="Z469" s="98" t="str">
        <f t="shared" si="283"/>
        <v>0,913460450574306+0,404477025103233i</v>
      </c>
      <c r="AA469" s="160">
        <f t="shared" si="294"/>
        <v>0.99900533462027896</v>
      </c>
      <c r="AB469" s="160">
        <f t="shared" si="295"/>
        <v>0.41684730996490449</v>
      </c>
      <c r="AC469" s="171" t="str">
        <f t="shared" si="296"/>
        <v>-0,0866907666103896-0,0439107606464303i</v>
      </c>
      <c r="AD469" s="190">
        <f t="shared" si="297"/>
        <v>-20.248695945818227</v>
      </c>
      <c r="AE469" s="169">
        <f t="shared" si="298"/>
        <v>-153.13679335218484</v>
      </c>
      <c r="AF469" s="98" t="str">
        <f t="shared" si="284"/>
        <v>-0,0000375877424711299</v>
      </c>
      <c r="AG469" s="98" t="str">
        <f t="shared" si="285"/>
        <v>0,00205963049655607i</v>
      </c>
      <c r="AH469" s="98">
        <f t="shared" si="299"/>
        <v>2.0596304965560699E-3</v>
      </c>
      <c r="AI469" s="98">
        <f t="shared" si="300"/>
        <v>1.5707963267948966</v>
      </c>
      <c r="AJ469" s="98" t="str">
        <f t="shared" si="286"/>
        <v>1+1,87865170822396i</v>
      </c>
      <c r="AK469" s="98">
        <f t="shared" si="301"/>
        <v>2.1282227892804837</v>
      </c>
      <c r="AL469" s="98">
        <f t="shared" si="302"/>
        <v>1.081646458822469</v>
      </c>
      <c r="AM469" s="98" t="str">
        <f t="shared" si="287"/>
        <v>1+146,390321571606i</v>
      </c>
      <c r="AN469" s="98">
        <f t="shared" si="303"/>
        <v>146.39373705810715</v>
      </c>
      <c r="AO469" s="98">
        <f t="shared" si="304"/>
        <v>1.5639653803547702</v>
      </c>
      <c r="AP469" s="168" t="str">
        <f t="shared" si="305"/>
        <v>-0,582271682483647+1,11213544134482i</v>
      </c>
      <c r="AQ469" s="98">
        <f t="shared" si="306"/>
        <v>1.9752467388410371</v>
      </c>
      <c r="AR469" s="169">
        <f t="shared" si="307"/>
        <v>117.63483858310246</v>
      </c>
      <c r="AS469" s="168" t="str">
        <f t="shared" si="308"/>
        <v>0,0993122917013332-0,0708438815040327i</v>
      </c>
      <c r="AT469" s="190">
        <f t="shared" si="309"/>
        <v>-18.273449206977194</v>
      </c>
      <c r="AU469" s="169">
        <f t="shared" si="310"/>
        <v>-35.501954769082353</v>
      </c>
      <c r="AV469" s="225"/>
      <c r="AX469">
        <f t="shared" si="311"/>
        <v>0</v>
      </c>
      <c r="AY469">
        <f t="shared" si="312"/>
        <v>0</v>
      </c>
    </row>
    <row r="470" spans="14:51" x14ac:dyDescent="0.25">
      <c r="N470" s="170">
        <v>52</v>
      </c>
      <c r="O470" s="199">
        <f t="shared" si="278"/>
        <v>331131.12148259126</v>
      </c>
      <c r="P470" s="189" t="str">
        <f t="shared" si="279"/>
        <v>120,833333333333</v>
      </c>
      <c r="Q470" s="160" t="str">
        <f t="shared" si="280"/>
        <v>1+1855,16439254732i</v>
      </c>
      <c r="R470" s="160">
        <f t="shared" si="288"/>
        <v>1855.1646620651943</v>
      </c>
      <c r="S470" s="160">
        <f t="shared" si="289"/>
        <v>1.5702572910592152</v>
      </c>
      <c r="T470" s="160" t="str">
        <f t="shared" si="281"/>
        <v>1+0,124833491834959i</v>
      </c>
      <c r="U470" s="160">
        <f t="shared" si="290"/>
        <v>1.0077615792853529</v>
      </c>
      <c r="V470" s="160">
        <f t="shared" si="291"/>
        <v>0.1241910446873912</v>
      </c>
      <c r="W470" s="98" t="str">
        <f t="shared" si="282"/>
        <v>1-1,06857469010725i</v>
      </c>
      <c r="X470" s="160">
        <f t="shared" si="292"/>
        <v>1.463506702525754</v>
      </c>
      <c r="Y470" s="160">
        <f t="shared" si="293"/>
        <v>-0.81853672325143967</v>
      </c>
      <c r="Z470" s="98" t="str">
        <f t="shared" si="283"/>
        <v>0,909381967260893+0,413898505326707i</v>
      </c>
      <c r="AA470" s="160">
        <f t="shared" si="294"/>
        <v>0.99914340066427598</v>
      </c>
      <c r="AB470" s="160">
        <f t="shared" si="295"/>
        <v>0.42712230577758931</v>
      </c>
      <c r="AC470" s="171" t="str">
        <f t="shared" si="296"/>
        <v>-0,0865794862007717-0,0418084986549114i</v>
      </c>
      <c r="AD470" s="190">
        <f t="shared" si="297"/>
        <v>-20.341420368521934</v>
      </c>
      <c r="AE470" s="169">
        <f t="shared" si="298"/>
        <v>-154.22449788915816</v>
      </c>
      <c r="AF470" s="98" t="str">
        <f t="shared" si="284"/>
        <v>-0,0000375877424711299</v>
      </c>
      <c r="AG470" s="98" t="str">
        <f t="shared" si="285"/>
        <v>0,00210760545381356i</v>
      </c>
      <c r="AH470" s="98">
        <f t="shared" si="299"/>
        <v>2.1076054538135599E-3</v>
      </c>
      <c r="AI470" s="98">
        <f t="shared" si="300"/>
        <v>1.5707963267948966</v>
      </c>
      <c r="AJ470" s="98" t="str">
        <f t="shared" si="286"/>
        <v>1+1,92241112796185i</v>
      </c>
      <c r="AK470" s="98">
        <f t="shared" si="301"/>
        <v>2.1669482100206165</v>
      </c>
      <c r="AL470" s="98">
        <f t="shared" si="302"/>
        <v>1.0911352841144022</v>
      </c>
      <c r="AM470" s="98" t="str">
        <f t="shared" si="287"/>
        <v>1+149,800190201951i</v>
      </c>
      <c r="AN470" s="98">
        <f t="shared" si="303"/>
        <v>149.80352794424002</v>
      </c>
      <c r="AO470" s="98">
        <f t="shared" si="304"/>
        <v>1.5641208670061832</v>
      </c>
      <c r="AP470" s="168" t="str">
        <f t="shared" si="305"/>
        <v>-0,561646148092797+1,0975491404311i</v>
      </c>
      <c r="AQ470" s="98">
        <f t="shared" si="306"/>
        <v>1.8186087690068344</v>
      </c>
      <c r="AR470" s="169">
        <f t="shared" si="307"/>
        <v>117.10007767023413</v>
      </c>
      <c r="AS470" s="168" t="str">
        <f t="shared" si="308"/>
        <v>0,0945139166899297-0,0715436584315494i</v>
      </c>
      <c r="AT470" s="190">
        <f t="shared" si="309"/>
        <v>-18.522811599515098</v>
      </c>
      <c r="AU470" s="169">
        <f t="shared" si="310"/>
        <v>-37.124420218924016</v>
      </c>
      <c r="AV470" s="225"/>
      <c r="AX470">
        <f t="shared" si="311"/>
        <v>0</v>
      </c>
      <c r="AY470">
        <f t="shared" si="312"/>
        <v>0</v>
      </c>
    </row>
    <row r="471" spans="14:51" x14ac:dyDescent="0.25">
      <c r="N471" s="170">
        <v>53</v>
      </c>
      <c r="O471" s="199">
        <f t="shared" si="278"/>
        <v>338844.15613920329</v>
      </c>
      <c r="P471" s="189" t="str">
        <f t="shared" si="279"/>
        <v>120,833333333333</v>
      </c>
      <c r="Q471" s="160" t="str">
        <f t="shared" si="280"/>
        <v>1+1898,37672242245i</v>
      </c>
      <c r="R471" s="160">
        <f t="shared" si="288"/>
        <v>1898.3769858053495</v>
      </c>
      <c r="S471" s="160">
        <f t="shared" si="289"/>
        <v>1.5702695610082671</v>
      </c>
      <c r="T471" s="160" t="str">
        <f t="shared" si="281"/>
        <v>1+0,12774123739665i</v>
      </c>
      <c r="U471" s="160">
        <f t="shared" si="290"/>
        <v>1.0081258967666822</v>
      </c>
      <c r="V471" s="160">
        <f t="shared" si="291"/>
        <v>0.12705314220132893</v>
      </c>
      <c r="W471" s="98" t="str">
        <f t="shared" si="282"/>
        <v>1-1,09346499211533i</v>
      </c>
      <c r="X471" s="160">
        <f t="shared" si="292"/>
        <v>1.481777881121789</v>
      </c>
      <c r="Y471" s="160">
        <f t="shared" si="293"/>
        <v>-0.83001460850203623</v>
      </c>
      <c r="Z471" s="98" t="str">
        <f t="shared" si="283"/>
        <v>0,90511127095067+0,423539440016298i</v>
      </c>
      <c r="AA471" s="160">
        <f t="shared" si="294"/>
        <v>0.999305794064688</v>
      </c>
      <c r="AB471" s="160">
        <f t="shared" si="295"/>
        <v>0.43767378525146922</v>
      </c>
      <c r="AC471" s="171" t="str">
        <f t="shared" si="296"/>
        <v>-0,0864597871518809-0,0397242780297616i</v>
      </c>
      <c r="AD471" s="190">
        <f t="shared" si="297"/>
        <v>-20.431924616696385</v>
      </c>
      <c r="AE471" s="169">
        <f t="shared" si="298"/>
        <v>-155.32340442141683</v>
      </c>
      <c r="AF471" s="98" t="str">
        <f t="shared" si="284"/>
        <v>-0,0000375877424711299</v>
      </c>
      <c r="AG471" s="98" t="str">
        <f t="shared" si="285"/>
        <v>0,00215669789138012i</v>
      </c>
      <c r="AH471" s="98">
        <f t="shared" si="299"/>
        <v>2.1566978913801198E-3</v>
      </c>
      <c r="AI471" s="98">
        <f t="shared" si="300"/>
        <v>1.5707963267948966</v>
      </c>
      <c r="AJ471" s="98" t="str">
        <f t="shared" si="286"/>
        <v>1+1,96718983552591i</v>
      </c>
      <c r="AK471" s="98">
        <f t="shared" si="301"/>
        <v>2.2067704567980004</v>
      </c>
      <c r="AL471" s="98">
        <f t="shared" si="302"/>
        <v>1.1004995170582343</v>
      </c>
      <c r="AM471" s="98" t="str">
        <f t="shared" si="287"/>
        <v>1+153,289484875981i</v>
      </c>
      <c r="AN471" s="98">
        <f t="shared" si="303"/>
        <v>153.29274664361523</v>
      </c>
      <c r="AO471" s="98">
        <f t="shared" si="304"/>
        <v>1.5642728146612022</v>
      </c>
      <c r="AP471" s="168" t="str">
        <f t="shared" si="305"/>
        <v>-0,541558686198624+1,08277711915609i</v>
      </c>
      <c r="AQ471" s="98">
        <f t="shared" si="306"/>
        <v>1.6604274714229881</v>
      </c>
      <c r="AR471" s="169">
        <f t="shared" si="307"/>
        <v>116.57225260351456</v>
      </c>
      <c r="AS471" s="168" t="str">
        <f t="shared" si="308"/>
        <v>0,0898355880646061-0,0721036514351758i</v>
      </c>
      <c r="AT471" s="190">
        <f t="shared" si="309"/>
        <v>-18.771497145273393</v>
      </c>
      <c r="AU471" s="169">
        <f t="shared" si="310"/>
        <v>-38.751151817902304</v>
      </c>
      <c r="AV471" s="225"/>
      <c r="AX471">
        <f t="shared" si="311"/>
        <v>0</v>
      </c>
      <c r="AY471">
        <f t="shared" si="312"/>
        <v>0</v>
      </c>
    </row>
    <row r="472" spans="14:51" x14ac:dyDescent="0.25">
      <c r="N472" s="170">
        <v>54</v>
      </c>
      <c r="O472" s="199">
        <f t="shared" si="278"/>
        <v>346736.85045253241</v>
      </c>
      <c r="P472" s="189" t="str">
        <f t="shared" si="279"/>
        <v>120,833333333333</v>
      </c>
      <c r="Q472" s="160" t="str">
        <f t="shared" si="280"/>
        <v>1+1942,5955967638i</v>
      </c>
      <c r="R472" s="160">
        <f t="shared" si="288"/>
        <v>1942.5958541513733</v>
      </c>
      <c r="S472" s="160">
        <f t="shared" si="289"/>
        <v>1.5702815516593334</v>
      </c>
      <c r="T472" s="160" t="str">
        <f t="shared" si="281"/>
        <v>1+0,130716713053265i</v>
      </c>
      <c r="U472" s="160">
        <f t="shared" si="290"/>
        <v>1.0085072429444668</v>
      </c>
      <c r="V472" s="160">
        <f t="shared" si="291"/>
        <v>0.12997974126158121</v>
      </c>
      <c r="W472" s="98" t="str">
        <f t="shared" si="282"/>
        <v>1-1,11893506373595i</v>
      </c>
      <c r="X472" s="160">
        <f t="shared" si="292"/>
        <v>1.5006717418735431</v>
      </c>
      <c r="Y472" s="160">
        <f t="shared" si="293"/>
        <v>-0.84146896908535496</v>
      </c>
      <c r="Z472" s="98" t="str">
        <f t="shared" si="283"/>
        <v>0,90063930292418+0,433404940923192i</v>
      </c>
      <c r="AA472" s="160">
        <f t="shared" si="294"/>
        <v>0.99949537106901531</v>
      </c>
      <c r="AB472" s="160">
        <f t="shared" si="295"/>
        <v>0.44851041552363174</v>
      </c>
      <c r="AC472" s="171" t="str">
        <f t="shared" si="296"/>
        <v>-0,0863310055517716-0,0376568329785333i</v>
      </c>
      <c r="AD472" s="190">
        <f t="shared" si="297"/>
        <v>-20.52023524333444</v>
      </c>
      <c r="AE472" s="169">
        <f t="shared" si="298"/>
        <v>-156.43358935782103</v>
      </c>
      <c r="AF472" s="98" t="str">
        <f t="shared" si="284"/>
        <v>-0,0000375877424711299</v>
      </c>
      <c r="AG472" s="98" t="str">
        <f t="shared" si="285"/>
        <v>0,00220693383871595i</v>
      </c>
      <c r="AH472" s="98">
        <f t="shared" si="299"/>
        <v>2.2069338387159499E-3</v>
      </c>
      <c r="AI472" s="98">
        <f t="shared" si="300"/>
        <v>1.5707963267948966</v>
      </c>
      <c r="AJ472" s="98" t="str">
        <f t="shared" si="286"/>
        <v>1+2,01301157317959i</v>
      </c>
      <c r="AK472" s="98">
        <f t="shared" si="301"/>
        <v>2.2477134145070559</v>
      </c>
      <c r="AL472" s="98">
        <f t="shared" si="302"/>
        <v>1.1097375526904958</v>
      </c>
      <c r="AM472" s="98" t="str">
        <f t="shared" si="287"/>
        <v>1+156,860055663918i</v>
      </c>
      <c r="AN472" s="98">
        <f t="shared" si="303"/>
        <v>156.86324318618256</v>
      </c>
      <c r="AO472" s="98">
        <f t="shared" si="304"/>
        <v>1.5644213038564034</v>
      </c>
      <c r="AP472" s="168" t="str">
        <f t="shared" si="305"/>
        <v>-0,522008979119072+1,06784177431635i</v>
      </c>
      <c r="AQ472" s="98">
        <f t="shared" si="306"/>
        <v>1.5007436274422656</v>
      </c>
      <c r="AR472" s="169">
        <f t="shared" si="307"/>
        <v>116.05145995498286</v>
      </c>
      <c r="AS472" s="168" t="str">
        <f t="shared" si="308"/>
        <v>0,0852770994173347-0,0725306492069369i</v>
      </c>
      <c r="AT472" s="190">
        <f t="shared" si="309"/>
        <v>-19.019491615892171</v>
      </c>
      <c r="AU472" s="169">
        <f t="shared" si="310"/>
        <v>-40.382129402838153</v>
      </c>
      <c r="AV472" s="225"/>
      <c r="AX472">
        <f t="shared" si="311"/>
        <v>0</v>
      </c>
      <c r="AY472">
        <f t="shared" si="312"/>
        <v>0</v>
      </c>
    </row>
    <row r="473" spans="14:51" x14ac:dyDescent="0.25">
      <c r="N473" s="170">
        <v>55</v>
      </c>
      <c r="O473" s="199">
        <f t="shared" si="278"/>
        <v>354813.38923357555</v>
      </c>
      <c r="P473" s="189" t="str">
        <f t="shared" si="279"/>
        <v>120,833333333333</v>
      </c>
      <c r="Q473" s="160" t="str">
        <f t="shared" si="280"/>
        <v>1+1987,84446100384i</v>
      </c>
      <c r="R473" s="160">
        <f t="shared" si="288"/>
        <v>1987.8447125325579</v>
      </c>
      <c r="S473" s="160">
        <f t="shared" si="289"/>
        <v>1.5702932693700016</v>
      </c>
      <c r="T473" s="160" t="str">
        <f t="shared" si="281"/>
        <v>1+0,133761496441379i</v>
      </c>
      <c r="U473" s="160">
        <f t="shared" si="290"/>
        <v>1.0089064069229796</v>
      </c>
      <c r="V473" s="160">
        <f t="shared" si="291"/>
        <v>0.13297219295294749</v>
      </c>
      <c r="W473" s="98" t="str">
        <f t="shared" si="282"/>
        <v>1-1,14499840953821i</v>
      </c>
      <c r="X473" s="160">
        <f t="shared" si="292"/>
        <v>1.5202043802874108</v>
      </c>
      <c r="Y473" s="160">
        <f t="shared" si="293"/>
        <v>-0.85289385652170702</v>
      </c>
      <c r="Z473" s="98" t="str">
        <f t="shared" si="283"/>
        <v>0,895956577537672+0,443500238866555i</v>
      </c>
      <c r="AA473" s="160">
        <f t="shared" si="294"/>
        <v>0.99971528482248884</v>
      </c>
      <c r="AB473" s="160">
        <f t="shared" si="295"/>
        <v>0.45964116799577204</v>
      </c>
      <c r="AC473" s="171" t="str">
        <f t="shared" si="296"/>
        <v>-0,0861924228667161-0,0356049123703353i</v>
      </c>
      <c r="AD473" s="190">
        <f t="shared" si="297"/>
        <v>-20.606383427753695</v>
      </c>
      <c r="AE473" s="169">
        <f t="shared" si="298"/>
        <v>-157.55514885184917</v>
      </c>
      <c r="AF473" s="98" t="str">
        <f t="shared" si="284"/>
        <v>-0,0000375877424711299</v>
      </c>
      <c r="AG473" s="98" t="str">
        <f t="shared" si="285"/>
        <v>0,00225833993158529i</v>
      </c>
      <c r="AH473" s="98">
        <f t="shared" si="299"/>
        <v>2.2583399315852901E-3</v>
      </c>
      <c r="AI473" s="98">
        <f t="shared" si="300"/>
        <v>1.5707963267948966</v>
      </c>
      <c r="AJ473" s="98" t="str">
        <f t="shared" si="286"/>
        <v>1+2,05990063621472i</v>
      </c>
      <c r="AK473" s="98">
        <f t="shared" si="301"/>
        <v>2.2898014392252022</v>
      </c>
      <c r="AL473" s="98">
        <f t="shared" si="302"/>
        <v>1.1188479811210654</v>
      </c>
      <c r="AM473" s="98" t="str">
        <f t="shared" si="287"/>
        <v>1+160,513795729655i</v>
      </c>
      <c r="AN473" s="98">
        <f t="shared" si="303"/>
        <v>160.51691069647899</v>
      </c>
      <c r="AO473" s="98">
        <f t="shared" si="304"/>
        <v>1.5645664132965162</v>
      </c>
      <c r="AP473" s="168" t="str">
        <f t="shared" si="305"/>
        <v>-0,502995616591445+1,05276496080707i</v>
      </c>
      <c r="AQ473" s="98">
        <f t="shared" si="306"/>
        <v>1.3395979533354174</v>
      </c>
      <c r="AR473" s="169">
        <f t="shared" si="307"/>
        <v>115.53778501484123</v>
      </c>
      <c r="AS473" s="168" t="str">
        <f t="shared" si="308"/>
        <v>0,0808380150614496-0,0728312478297436i</v>
      </c>
      <c r="AT473" s="190">
        <f t="shared" si="309"/>
        <v>-19.266785474418278</v>
      </c>
      <c r="AU473" s="169">
        <f t="shared" si="310"/>
        <v>-42.017363837007942</v>
      </c>
      <c r="AV473" s="225"/>
      <c r="AX473">
        <f t="shared" si="311"/>
        <v>0</v>
      </c>
      <c r="AY473">
        <f t="shared" si="312"/>
        <v>0</v>
      </c>
    </row>
    <row r="474" spans="14:51" x14ac:dyDescent="0.25">
      <c r="N474" s="170">
        <v>56</v>
      </c>
      <c r="O474" s="199">
        <f t="shared" si="278"/>
        <v>363078.05477010203</v>
      </c>
      <c r="P474" s="189" t="str">
        <f t="shared" si="279"/>
        <v>120,833333333333</v>
      </c>
      <c r="Q474" s="160" t="str">
        <f t="shared" si="280"/>
        <v>1+2034,14730668935i</v>
      </c>
      <c r="R474" s="160">
        <f t="shared" si="288"/>
        <v>2034.1475524925759</v>
      </c>
      <c r="S474" s="160">
        <f t="shared" si="289"/>
        <v>1.5703047203531446</v>
      </c>
      <c r="T474" s="160" t="str">
        <f t="shared" si="281"/>
        <v>1+0,136877201945451i</v>
      </c>
      <c r="U474" s="160">
        <f t="shared" si="290"/>
        <v>1.0093242137254095</v>
      </c>
      <c r="V474" s="160">
        <f t="shared" si="291"/>
        <v>0.13603186942571277</v>
      </c>
      <c r="W474" s="98" t="str">
        <f t="shared" si="282"/>
        <v>1-1,17166884865306i</v>
      </c>
      <c r="X474" s="160">
        <f t="shared" si="292"/>
        <v>1.5403921224493415</v>
      </c>
      <c r="Y474" s="160">
        <f t="shared" si="293"/>
        <v>-0.86428339922473696</v>
      </c>
      <c r="Z474" s="98" t="str">
        <f t="shared" si="283"/>
        <v>0,891053162102776+0,453830686506988i</v>
      </c>
      <c r="AA474" s="160">
        <f t="shared" si="294"/>
        <v>0.99996901437432539</v>
      </c>
      <c r="AB474" s="160">
        <f t="shared" si="295"/>
        <v>0.47107532516640138</v>
      </c>
      <c r="AC474" s="171" t="str">
        <f t="shared" si="296"/>
        <v>-0,0860432618196374-0,0335672816708088i</v>
      </c>
      <c r="AD474" s="190">
        <f t="shared" si="297"/>
        <v>-20.690405161911642</v>
      </c>
      <c r="AE474" s="169">
        <f t="shared" si="298"/>
        <v>-158.6882000719236</v>
      </c>
      <c r="AF474" s="98" t="str">
        <f t="shared" si="284"/>
        <v>-0,0000375877424711299</v>
      </c>
      <c r="AG474" s="98" t="str">
        <f t="shared" si="285"/>
        <v>0,00231094342617903i</v>
      </c>
      <c r="AH474" s="98">
        <f t="shared" si="299"/>
        <v>2.3109434261790302E-3</v>
      </c>
      <c r="AI474" s="98">
        <f t="shared" si="300"/>
        <v>1.5707963267948966</v>
      </c>
      <c r="AJ474" s="98" t="str">
        <f t="shared" si="286"/>
        <v>1+2,1078818858332i</v>
      </c>
      <c r="AK474" s="98">
        <f t="shared" si="301"/>
        <v>2.3330593744317198</v>
      </c>
      <c r="AL474" s="98">
        <f t="shared" si="302"/>
        <v>1.1278295825383258</v>
      </c>
      <c r="AM474" s="98" t="str">
        <f t="shared" si="287"/>
        <v>1+164,252642334541i</v>
      </c>
      <c r="AN474" s="98">
        <f t="shared" si="303"/>
        <v>164.25568639739279</v>
      </c>
      <c r="AO474" s="98">
        <f t="shared" si="304"/>
        <v>1.5647082198960283</v>
      </c>
      <c r="AP474" s="168" t="str">
        <f t="shared" si="305"/>
        <v>-0,484516158934814+1,03756794197374i</v>
      </c>
      <c r="AQ474" s="98">
        <f t="shared" si="306"/>
        <v>1.1770310197827325</v>
      </c>
      <c r="AR474" s="169">
        <f t="shared" si="307"/>
        <v>115.03130208002288</v>
      </c>
      <c r="AS474" s="168" t="str">
        <f t="shared" si="308"/>
        <v>0,0765176860799072-0,0730118397058856i</v>
      </c>
      <c r="AT474" s="190">
        <f t="shared" si="309"/>
        <v>-19.51337414212891</v>
      </c>
      <c r="AU474" s="169">
        <f t="shared" si="310"/>
        <v>-43.656897991900713</v>
      </c>
      <c r="AV474" s="225"/>
      <c r="AX474">
        <f t="shared" si="311"/>
        <v>0</v>
      </c>
      <c r="AY474">
        <f t="shared" si="312"/>
        <v>0</v>
      </c>
    </row>
    <row r="475" spans="14:51" x14ac:dyDescent="0.25">
      <c r="N475" s="170">
        <v>57</v>
      </c>
      <c r="O475" s="199">
        <f t="shared" si="278"/>
        <v>371535.2290971732</v>
      </c>
      <c r="P475" s="189" t="str">
        <f t="shared" si="279"/>
        <v>120,833333333333</v>
      </c>
      <c r="Q475" s="160" t="str">
        <f t="shared" si="280"/>
        <v>1+2081,52868420198i</v>
      </c>
      <c r="R475" s="160">
        <f t="shared" si="288"/>
        <v>2081.5289244100422</v>
      </c>
      <c r="S475" s="160">
        <f t="shared" si="289"/>
        <v>1.5703159106802129</v>
      </c>
      <c r="T475" s="160" t="str">
        <f t="shared" si="281"/>
        <v>1+0,140065481553777i</v>
      </c>
      <c r="U475" s="160">
        <f t="shared" si="290"/>
        <v>1.0097615258678116</v>
      </c>
      <c r="V475" s="160">
        <f t="shared" si="291"/>
        <v>0.13916016369169779</v>
      </c>
      <c r="W475" s="98" t="str">
        <f t="shared" si="282"/>
        <v>1-1,19896052210033i</v>
      </c>
      <c r="X475" s="160">
        <f t="shared" si="292"/>
        <v>1.5612515279592512</v>
      </c>
      <c r="Y475" s="160">
        <f t="shared" si="293"/>
        <v>-0.87563181719287919</v>
      </c>
      <c r="Z475" s="98" t="str">
        <f t="shared" si="283"/>
        <v>0,885918655817943+0,464401761184564i</v>
      </c>
      <c r="AA475" s="160">
        <f t="shared" si="294"/>
        <v>1.0002603963556669</v>
      </c>
      <c r="AB475" s="160">
        <f t="shared" si="295"/>
        <v>0.48282248660331029</v>
      </c>
      <c r="AC475" s="171" t="str">
        <f t="shared" si="296"/>
        <v>-0,0858826820482818-0,0315427253353415i</v>
      </c>
      <c r="AD475" s="190">
        <f t="shared" si="297"/>
        <v>-20.772341447758585</v>
      </c>
      <c r="AE475" s="169">
        <f t="shared" si="298"/>
        <v>-159.83288239723888</v>
      </c>
      <c r="AF475" s="98" t="str">
        <f t="shared" si="284"/>
        <v>-0,0000375877424711299</v>
      </c>
      <c r="AG475" s="98" t="str">
        <f t="shared" si="285"/>
        <v>0,00236477221356628i</v>
      </c>
      <c r="AH475" s="98">
        <f t="shared" si="299"/>
        <v>2.3647722135662799E-3</v>
      </c>
      <c r="AI475" s="98">
        <f t="shared" si="300"/>
        <v>1.5707963267948966</v>
      </c>
      <c r="AJ475" s="98" t="str">
        <f t="shared" si="286"/>
        <v>1+2,15698076232865i</v>
      </c>
      <c r="AK475" s="98">
        <f t="shared" si="301"/>
        <v>2.3775125675915749</v>
      </c>
      <c r="AL475" s="98">
        <f t="shared" si="302"/>
        <v>1.1366813218090381</v>
      </c>
      <c r="AM475" s="98" t="str">
        <f t="shared" si="287"/>
        <v>1+168,078577864533i</v>
      </c>
      <c r="AN475" s="98">
        <f t="shared" si="303"/>
        <v>168.08155263729535</v>
      </c>
      <c r="AO475" s="98">
        <f t="shared" si="304"/>
        <v>1.5648467988198498</v>
      </c>
      <c r="AP475" s="168" t="str">
        <f t="shared" si="305"/>
        <v>-0,466567201543565+1,02227134618411i</v>
      </c>
      <c r="AQ475" s="98">
        <f t="shared" si="306"/>
        <v>1.0130831762111172</v>
      </c>
      <c r="AR475" s="169">
        <f t="shared" si="307"/>
        <v>114.53207476592509</v>
      </c>
      <c r="AS475" s="168" t="str">
        <f t="shared" si="308"/>
        <v>0,0723152669151978-0,0730786039026313i</v>
      </c>
      <c r="AT475" s="190">
        <f t="shared" si="309"/>
        <v>-19.75925827154747</v>
      </c>
      <c r="AU475" s="169">
        <f t="shared" si="310"/>
        <v>-45.300807631313759</v>
      </c>
      <c r="AV475" s="225"/>
      <c r="AX475">
        <f t="shared" si="311"/>
        <v>0</v>
      </c>
      <c r="AY475">
        <f t="shared" si="312"/>
        <v>0</v>
      </c>
    </row>
    <row r="476" spans="14:51" x14ac:dyDescent="0.25">
      <c r="N476" s="170">
        <v>58</v>
      </c>
      <c r="O476" s="199">
        <f t="shared" si="278"/>
        <v>380189.39632056188</v>
      </c>
      <c r="P476" s="189" t="str">
        <f t="shared" si="279"/>
        <v>120,833333333333</v>
      </c>
      <c r="Q476" s="160" t="str">
        <f t="shared" si="280"/>
        <v>1+2130,01371577526i</v>
      </c>
      <c r="R476" s="160">
        <f t="shared" si="288"/>
        <v>2130.0139505155198</v>
      </c>
      <c r="S476" s="160">
        <f t="shared" si="289"/>
        <v>1.5703268462844553</v>
      </c>
      <c r="T476" s="160" t="str">
        <f t="shared" si="281"/>
        <v>1+0,14332802573441i</v>
      </c>
      <c r="U476" s="160">
        <f t="shared" si="290"/>
        <v>1.0102192449963145</v>
      </c>
      <c r="V476" s="160">
        <f t="shared" si="291"/>
        <v>0.14235848937169135</v>
      </c>
      <c r="W476" s="98" t="str">
        <f t="shared" si="282"/>
        <v>1-1,22688790028655i</v>
      </c>
      <c r="X476" s="160">
        <f t="shared" si="292"/>
        <v>1.5827993934385807</v>
      </c>
      <c r="Y476" s="160">
        <f t="shared" si="293"/>
        <v>-0.88693343612833164</v>
      </c>
      <c r="Z476" s="98" t="str">
        <f t="shared" si="283"/>
        <v>0,880542167706947+0,475219067823005i</v>
      </c>
      <c r="AA476" s="160">
        <f t="shared" si="294"/>
        <v>1.0005936595504767</v>
      </c>
      <c r="AB476" s="160">
        <f t="shared" si="295"/>
        <v>0.4948925738366009</v>
      </c>
      <c r="AC476" s="171" t="str">
        <f t="shared" si="296"/>
        <v>-0,0857097755532535-0,0295300497215737i</v>
      </c>
      <c r="AD476" s="190">
        <f t="shared" si="297"/>
        <v>-20.852238507439033</v>
      </c>
      <c r="AE476" s="169">
        <f t="shared" si="298"/>
        <v>-160.98935852172525</v>
      </c>
      <c r="AF476" s="98" t="str">
        <f t="shared" si="284"/>
        <v>-0,0000375877424711299</v>
      </c>
      <c r="AG476" s="98" t="str">
        <f t="shared" si="285"/>
        <v>0,00241985483448262i</v>
      </c>
      <c r="AH476" s="98">
        <f t="shared" si="299"/>
        <v>2.4198548344826201E-3</v>
      </c>
      <c r="AI476" s="98">
        <f t="shared" si="300"/>
        <v>1.5707963267948966</v>
      </c>
      <c r="AJ476" s="98" t="str">
        <f t="shared" si="286"/>
        <v>1+2,20722329857531i</v>
      </c>
      <c r="AK476" s="98">
        <f t="shared" si="301"/>
        <v>2.4231868870918052</v>
      </c>
      <c r="AL476" s="98">
        <f t="shared" si="302"/>
        <v>1.145402342726666</v>
      </c>
      <c r="AM476" s="98" t="str">
        <f t="shared" si="287"/>
        <v>1+171,993630881292i</v>
      </c>
      <c r="AN476" s="98">
        <f t="shared" si="303"/>
        <v>171.99653794111705</v>
      </c>
      <c r="AO476" s="98">
        <f t="shared" si="304"/>
        <v>1.5649822235230579</v>
      </c>
      <c r="AP476" s="168" t="str">
        <f t="shared" si="305"/>
        <v>-0,449144440148934+1,00689512947244i</v>
      </c>
      <c r="AQ476" s="98">
        <f t="shared" si="306"/>
        <v>0.84779448005599878</v>
      </c>
      <c r="AR476" s="169">
        <f t="shared" si="307"/>
        <v>114.04015633823535</v>
      </c>
      <c r="AS476" s="168" t="str">
        <f t="shared" si="308"/>
        <v>0,0682297323938884-0,0730374979029805i</v>
      </c>
      <c r="AT476" s="190">
        <f t="shared" si="309"/>
        <v>-20.004444027383038</v>
      </c>
      <c r="AU476" s="169">
        <f t="shared" si="310"/>
        <v>-46.949202183489888</v>
      </c>
      <c r="AV476" s="225"/>
      <c r="AX476">
        <f t="shared" si="311"/>
        <v>0</v>
      </c>
      <c r="AY476">
        <f t="shared" si="312"/>
        <v>0</v>
      </c>
    </row>
    <row r="477" spans="14:51" x14ac:dyDescent="0.25">
      <c r="N477" s="170">
        <v>59</v>
      </c>
      <c r="O477" s="199">
        <f t="shared" si="278"/>
        <v>389045.14499428123</v>
      </c>
      <c r="P477" s="189" t="str">
        <f t="shared" si="279"/>
        <v>120,833333333333</v>
      </c>
      <c r="Q477" s="160" t="str">
        <f t="shared" si="280"/>
        <v>1+2179,62810881472i</v>
      </c>
      <c r="R477" s="160">
        <f t="shared" si="288"/>
        <v>2179.6283382116394</v>
      </c>
      <c r="S477" s="160">
        <f t="shared" si="289"/>
        <v>1.5703375329640628</v>
      </c>
      <c r="T477" s="160" t="str">
        <f t="shared" si="281"/>
        <v>1+0,146666564331457i</v>
      </c>
      <c r="U477" s="160">
        <f t="shared" si="290"/>
        <v>1.0106983135895664</v>
      </c>
      <c r="V477" s="160">
        <f t="shared" si="291"/>
        <v>0.14562828039059939</v>
      </c>
      <c r="W477" s="98" t="str">
        <f t="shared" si="282"/>
        <v>1-1,25546579067727i</v>
      </c>
      <c r="X477" s="160">
        <f t="shared" si="292"/>
        <v>1.6050527566285484</v>
      </c>
      <c r="Y477" s="160">
        <f t="shared" si="293"/>
        <v>-0.89818270090303232</v>
      </c>
      <c r="Z477" s="98" t="str">
        <f t="shared" si="283"/>
        <v>0,874912293517668+0,486288341901473i</v>
      </c>
      <c r="AA477" s="160">
        <f t="shared" si="294"/>
        <v>1.0009734625941038</v>
      </c>
      <c r="AB477" s="160">
        <f t="shared" si="295"/>
        <v>0.50729583391881683</v>
      </c>
      <c r="AC477" s="171" t="str">
        <f t="shared" si="296"/>
        <v>-0,0855235619524-0,0275280865885364i</v>
      </c>
      <c r="AD477" s="190">
        <f t="shared" si="297"/>
        <v>-20.930148008218971</v>
      </c>
      <c r="AE477" s="169">
        <f t="shared" si="298"/>
        <v>-162.15781544722</v>
      </c>
      <c r="AF477" s="98" t="str">
        <f t="shared" si="284"/>
        <v>-0,0000375877424711299</v>
      </c>
      <c r="AG477" s="98" t="str">
        <f t="shared" si="285"/>
        <v>0,00247622049446277i</v>
      </c>
      <c r="AH477" s="98">
        <f t="shared" si="299"/>
        <v>2.4762204944627701E-3</v>
      </c>
      <c r="AI477" s="98">
        <f t="shared" si="300"/>
        <v>1.5707963267948966</v>
      </c>
      <c r="AJ477" s="98" t="str">
        <f t="shared" si="286"/>
        <v>1+2,25863613383092i</v>
      </c>
      <c r="AK477" s="98">
        <f t="shared" si="301"/>
        <v>2.4701087395187051</v>
      </c>
      <c r="AL477" s="98">
        <f t="shared" si="302"/>
        <v>1.1539919619602519</v>
      </c>
      <c r="AM477" s="98" t="str">
        <f t="shared" si="287"/>
        <v>1+175,999877197749i</v>
      </c>
      <c r="AN477" s="98">
        <f t="shared" si="303"/>
        <v>176.00271808589414</v>
      </c>
      <c r="AO477" s="98">
        <f t="shared" si="304"/>
        <v>1.5651145657897423</v>
      </c>
      <c r="AP477" s="168" t="str">
        <f t="shared" si="305"/>
        <v>-0,432242736325952+0,991458544063205i</v>
      </c>
      <c r="AQ477" s="98">
        <f t="shared" si="306"/>
        <v>0.68120463098693063</v>
      </c>
      <c r="AR477" s="169">
        <f t="shared" si="307"/>
        <v>113.55559006185879</v>
      </c>
      <c r="AS477" s="168" t="str">
        <f t="shared" si="308"/>
        <v>0,0642598950885636-0,0728942507435791i</v>
      </c>
      <c r="AT477" s="190">
        <f t="shared" si="309"/>
        <v>-20.248943377232042</v>
      </c>
      <c r="AU477" s="169">
        <f t="shared" si="310"/>
        <v>-48.602225385361223</v>
      </c>
      <c r="AV477" s="225"/>
      <c r="AX477">
        <f t="shared" si="311"/>
        <v>0</v>
      </c>
      <c r="AY477">
        <f t="shared" si="312"/>
        <v>0</v>
      </c>
    </row>
    <row r="478" spans="14:51" x14ac:dyDescent="0.25">
      <c r="N478" s="170">
        <v>60</v>
      </c>
      <c r="O478" s="199">
        <f t="shared" si="278"/>
        <v>398107.17055349716</v>
      </c>
      <c r="P478" s="189" t="str">
        <f t="shared" si="279"/>
        <v>120,833333333333</v>
      </c>
      <c r="Q478" s="160" t="str">
        <f t="shared" si="280"/>
        <v>1+2230,39816952825i</v>
      </c>
      <c r="R478" s="160">
        <f t="shared" si="288"/>
        <v>2230.3983937034586</v>
      </c>
      <c r="S478" s="160">
        <f t="shared" si="289"/>
        <v>1.570347976385245</v>
      </c>
      <c r="T478" s="160" t="str">
        <f t="shared" si="281"/>
        <v>1+0,150082867482274i</v>
      </c>
      <c r="U478" s="160">
        <f t="shared" si="290"/>
        <v>1.0111997167284521</v>
      </c>
      <c r="V478" s="160">
        <f t="shared" si="291"/>
        <v>0.1489709906165565</v>
      </c>
      <c r="W478" s="98" t="str">
        <f t="shared" si="282"/>
        <v>1-1,28470934564827i</v>
      </c>
      <c r="X478" s="160">
        <f t="shared" si="292"/>
        <v>1.6280289010935913</v>
      </c>
      <c r="Y478" s="160">
        <f t="shared" si="293"/>
        <v>-0.90937418829875138</v>
      </c>
      <c r="Z478" s="98" t="str">
        <f t="shared" si="283"/>
        <v>0,869017091532139+0,497615452495604i</v>
      </c>
      <c r="AA478" s="160">
        <f t="shared" si="294"/>
        <v>1.0014049350474477</v>
      </c>
      <c r="AB478" s="160">
        <f t="shared" si="295"/>
        <v>0.52004284136128842</v>
      </c>
      <c r="AC478" s="171" t="str">
        <f t="shared" si="296"/>
        <v>-0,0853229835658581-0,0255356972561832i</v>
      </c>
      <c r="AD478" s="190">
        <f t="shared" si="297"/>
        <v>-21.006127304050789</v>
      </c>
      <c r="AE478" s="169">
        <f t="shared" si="298"/>
        <v>-163.33846534521882</v>
      </c>
      <c r="AF478" s="98" t="str">
        <f t="shared" si="284"/>
        <v>-0,0000375877424711299</v>
      </c>
      <c r="AG478" s="98" t="str">
        <f t="shared" si="285"/>
        <v>0,00253389907932573i</v>
      </c>
      <c r="AH478" s="98">
        <f t="shared" si="299"/>
        <v>2.5338990793257301E-3</v>
      </c>
      <c r="AI478" s="98">
        <f t="shared" si="300"/>
        <v>1.5707963267948966</v>
      </c>
      <c r="AJ478" s="98" t="str">
        <f t="shared" si="286"/>
        <v>1+2,31124652786127i</v>
      </c>
      <c r="AK478" s="98">
        <f t="shared" si="301"/>
        <v>2.5183050872661905</v>
      </c>
      <c r="AL478" s="98">
        <f t="shared" si="302"/>
        <v>1.1624496627542455</v>
      </c>
      <c r="AM478" s="98" t="str">
        <f t="shared" si="287"/>
        <v>1+180,099440978729i</v>
      </c>
      <c r="AN478" s="98">
        <f t="shared" si="303"/>
        <v>180.10221720137343</v>
      </c>
      <c r="AO478" s="98">
        <f t="shared" si="304"/>
        <v>1.56524389577097</v>
      </c>
      <c r="AP478" s="168" t="str">
        <f t="shared" si="305"/>
        <v>-0,415856182766269+0,975980112542815i</v>
      </c>
      <c r="AQ478" s="98">
        <f t="shared" si="306"/>
        <v>0.51335291009591977</v>
      </c>
      <c r="AR478" s="169">
        <f t="shared" si="307"/>
        <v>113.07840956406744</v>
      </c>
      <c r="AS478" s="168" t="str">
        <f t="shared" si="308"/>
        <v>0,0604044229298758-0,0726543575178635i</v>
      </c>
      <c r="AT478" s="190">
        <f t="shared" si="309"/>
        <v>-20.492774393954868</v>
      </c>
      <c r="AU478" s="169">
        <f t="shared" si="310"/>
        <v>-50.260055781151372</v>
      </c>
      <c r="AV478" s="225"/>
      <c r="AX478">
        <f t="shared" si="311"/>
        <v>0</v>
      </c>
      <c r="AY478">
        <f t="shared" si="312"/>
        <v>0</v>
      </c>
    </row>
    <row r="479" spans="14:51" x14ac:dyDescent="0.25">
      <c r="N479" s="170">
        <v>61</v>
      </c>
      <c r="O479" s="199">
        <f t="shared" si="278"/>
        <v>407380.27780411334</v>
      </c>
      <c r="P479" s="189" t="str">
        <f t="shared" si="279"/>
        <v>120,833333333333</v>
      </c>
      <c r="Q479" s="160" t="str">
        <f t="shared" si="280"/>
        <v>1+2282,35081687408i</v>
      </c>
      <c r="R479" s="160">
        <f t="shared" si="288"/>
        <v>2282.3510359464385</v>
      </c>
      <c r="S479" s="160">
        <f t="shared" si="289"/>
        <v>1.570358182085233</v>
      </c>
      <c r="T479" s="160" t="str">
        <f t="shared" si="281"/>
        <v>1+0,153578746556012i</v>
      </c>
      <c r="U479" s="160">
        <f t="shared" si="290"/>
        <v>1.0117244839350858</v>
      </c>
      <c r="V479" s="160">
        <f t="shared" si="291"/>
        <v>0.152388093439974</v>
      </c>
      <c r="W479" s="98" t="str">
        <f t="shared" si="282"/>
        <v>1-1,31463407051946i</v>
      </c>
      <c r="X479" s="160">
        <f t="shared" si="292"/>
        <v>1.6517453615405022</v>
      </c>
      <c r="Y479" s="160">
        <f t="shared" si="293"/>
        <v>-0.92050261895619734</v>
      </c>
      <c r="Z479" s="98" t="str">
        <f t="shared" si="283"/>
        <v>0,862844057236565+0,509206405389368i</v>
      </c>
      <c r="AA479" s="160">
        <f t="shared" si="294"/>
        <v>1.0018937221072992</v>
      </c>
      <c r="AB479" s="160">
        <f t="shared" si="295"/>
        <v>0.53314449811408526</v>
      </c>
      <c r="AC479" s="171" t="str">
        <f t="shared" si="296"/>
        <v>-0,0851069003655413-0,0235517775056079i</v>
      </c>
      <c r="AD479" s="190">
        <f t="shared" si="297"/>
        <v>-21.080239695683112</v>
      </c>
      <c r="AE479" s="169">
        <f t="shared" si="298"/>
        <v>-164.5315462646511</v>
      </c>
      <c r="AF479" s="98" t="str">
        <f t="shared" si="284"/>
        <v>-0,0000375877424711299</v>
      </c>
      <c r="AG479" s="98" t="str">
        <f t="shared" si="285"/>
        <v>0,00259292117102068i</v>
      </c>
      <c r="AH479" s="98">
        <f t="shared" si="299"/>
        <v>2.59292117102068E-3</v>
      </c>
      <c r="AI479" s="98">
        <f t="shared" si="300"/>
        <v>1.5707963267948966</v>
      </c>
      <c r="AJ479" s="98" t="str">
        <f t="shared" si="286"/>
        <v>1+2,36508237539367i</v>
      </c>
      <c r="AK479" s="98">
        <f t="shared" si="301"/>
        <v>2.5678034664665761</v>
      </c>
      <c r="AL479" s="98">
        <f t="shared" si="302"/>
        <v>1.1707750884273997</v>
      </c>
      <c r="AM479" s="98" t="str">
        <f t="shared" si="287"/>
        <v>1+184,294495867215i</v>
      </c>
      <c r="AN479" s="98">
        <f t="shared" si="303"/>
        <v>184.29720889625793</v>
      </c>
      <c r="AO479" s="98">
        <f t="shared" si="304"/>
        <v>1.565370282021894</v>
      </c>
      <c r="AP479" s="168" t="str">
        <f t="shared" si="305"/>
        <v>-0,399978167881892+0,960477607416312i</v>
      </c>
      <c r="AQ479" s="98">
        <f t="shared" si="306"/>
        <v>0.34427812401440377</v>
      </c>
      <c r="AR479" s="169">
        <f t="shared" si="307"/>
        <v>112.60863920911213</v>
      </c>
      <c r="AS479" s="168" t="str">
        <f t="shared" si="308"/>
        <v>0,0566618569913035-0,0723230752206586i</v>
      </c>
      <c r="AT479" s="190">
        <f t="shared" si="309"/>
        <v>-20.73596157166871</v>
      </c>
      <c r="AU479" s="169">
        <f t="shared" si="310"/>
        <v>-51.922907055539007</v>
      </c>
      <c r="AV479" s="225"/>
      <c r="AX479">
        <f t="shared" si="311"/>
        <v>0</v>
      </c>
      <c r="AY479">
        <f t="shared" si="312"/>
        <v>0</v>
      </c>
    </row>
    <row r="480" spans="14:51" x14ac:dyDescent="0.25">
      <c r="N480" s="170">
        <v>62</v>
      </c>
      <c r="O480" s="199">
        <f t="shared" si="278"/>
        <v>416869.38347033598</v>
      </c>
      <c r="P480" s="189" t="str">
        <f t="shared" si="279"/>
        <v>120,833333333333</v>
      </c>
      <c r="Q480" s="160" t="str">
        <f t="shared" si="280"/>
        <v>1+2335,51359683351i</v>
      </c>
      <c r="R480" s="160">
        <f t="shared" si="288"/>
        <v>2335.5138109191735</v>
      </c>
      <c r="S480" s="160">
        <f t="shared" si="289"/>
        <v>1.5703681554752154</v>
      </c>
      <c r="T480" s="160" t="str">
        <f t="shared" si="281"/>
        <v>1+0,157156055114029i</v>
      </c>
      <c r="U480" s="160">
        <f t="shared" si="290"/>
        <v>1.0122736910831001</v>
      </c>
      <c r="V480" s="160">
        <f t="shared" si="291"/>
        <v>0.15588108128835385</v>
      </c>
      <c r="W480" s="98" t="str">
        <f t="shared" si="282"/>
        <v>1-1,34525583177609i</v>
      </c>
      <c r="X480" s="160">
        <f t="shared" si="292"/>
        <v>1.6762199297608833</v>
      </c>
      <c r="Y480" s="160">
        <f t="shared" si="293"/>
        <v>-0.93156286847691527</v>
      </c>
      <c r="Z480" s="98" t="str">
        <f t="shared" si="283"/>
        <v>0,856380096797571+0,521067346259414i</v>
      </c>
      <c r="AA480" s="160">
        <f t="shared" si="294"/>
        <v>1.0024460332251532</v>
      </c>
      <c r="AB480" s="160">
        <f t="shared" si="295"/>
        <v>0.54661203121113122</v>
      </c>
      <c r="AC480" s="171" t="str">
        <f t="shared" si="296"/>
        <v>-0,084874084834329-0,0215752633066131i</v>
      </c>
      <c r="AD480" s="190">
        <f t="shared" si="297"/>
        <v>-21.152554711163148</v>
      </c>
      <c r="AE480" s="169">
        <f t="shared" si="298"/>
        <v>-165.73732266101436</v>
      </c>
      <c r="AF480" s="98" t="str">
        <f t="shared" si="284"/>
        <v>-0,0000375877424711299</v>
      </c>
      <c r="AG480" s="98" t="str">
        <f t="shared" si="285"/>
        <v>0,00265331806384187i</v>
      </c>
      <c r="AH480" s="98">
        <f t="shared" si="299"/>
        <v>2.6533180638418702E-3</v>
      </c>
      <c r="AI480" s="98">
        <f t="shared" si="300"/>
        <v>1.5707963267948966</v>
      </c>
      <c r="AJ480" s="98" t="str">
        <f t="shared" si="286"/>
        <v>1+2,42017222090707i</v>
      </c>
      <c r="AK480" s="98">
        <f t="shared" si="301"/>
        <v>2.6186320052367531</v>
      </c>
      <c r="AL480" s="98">
        <f t="shared" si="302"/>
        <v>1.1789680357165016</v>
      </c>
      <c r="AM480" s="98" t="str">
        <f t="shared" si="287"/>
        <v>1+188,587266136836i</v>
      </c>
      <c r="AN480" s="98">
        <f t="shared" si="303"/>
        <v>188.58991741067655</v>
      </c>
      <c r="AO480" s="98">
        <f t="shared" si="304"/>
        <v>1.5654937915380174</v>
      </c>
      <c r="AP480" s="168" t="str">
        <f t="shared" si="305"/>
        <v>-0,384601439350077+0,944968035760395i</v>
      </c>
      <c r="AQ480" s="98">
        <f t="shared" si="306"/>
        <v>0.17401855389342039</v>
      </c>
      <c r="AR480" s="169">
        <f t="shared" si="307"/>
        <v>112.14629448167705</v>
      </c>
      <c r="AS480" s="168" t="str">
        <f t="shared" si="308"/>
        <v>0,053030629378667-0,0719054199107767i</v>
      </c>
      <c r="AT480" s="190">
        <f t="shared" si="309"/>
        <v>-20.978536157269726</v>
      </c>
      <c r="AU480" s="169">
        <f t="shared" si="310"/>
        <v>-53.591028179337314</v>
      </c>
      <c r="AV480" s="225"/>
      <c r="AX480">
        <f t="shared" si="311"/>
        <v>0</v>
      </c>
      <c r="AY480">
        <f t="shared" si="312"/>
        <v>0</v>
      </c>
    </row>
    <row r="481" spans="14:51" x14ac:dyDescent="0.25">
      <c r="N481" s="170">
        <v>63</v>
      </c>
      <c r="O481" s="199">
        <f t="shared" si="278"/>
        <v>426579.51880159322</v>
      </c>
      <c r="P481" s="189" t="str">
        <f t="shared" si="279"/>
        <v>120,833333333333</v>
      </c>
      <c r="Q481" s="160" t="str">
        <f t="shared" si="280"/>
        <v>1+2389,91469701614i</v>
      </c>
      <c r="R481" s="160">
        <f t="shared" si="288"/>
        <v>2389.9149062286192</v>
      </c>
      <c r="S481" s="160">
        <f t="shared" si="289"/>
        <v>1.5703779018432074</v>
      </c>
      <c r="T481" s="160" t="str">
        <f t="shared" si="281"/>
        <v>1+0,160816689892674i</v>
      </c>
      <c r="U481" s="160">
        <f t="shared" si="290"/>
        <v>1.0128484623812373</v>
      </c>
      <c r="V481" s="160">
        <f t="shared" si="291"/>
        <v>0.15945146507247868</v>
      </c>
      <c r="W481" s="98" t="str">
        <f t="shared" si="282"/>
        <v>1-1,37659086548129i</v>
      </c>
      <c r="X481" s="160">
        <f t="shared" si="292"/>
        <v>1.7014706612006354</v>
      </c>
      <c r="Y481" s="160">
        <f t="shared" si="293"/>
        <v>-0.94254997763045734</v>
      </c>
      <c r="Z481" s="98" t="str">
        <f t="shared" si="283"/>
        <v>0,84961149928843+0,533204563933588i</v>
      </c>
      <c r="AA481" s="160">
        <f t="shared" si="294"/>
        <v>1.0030686949171237</v>
      </c>
      <c r="AB481" s="160">
        <f t="shared" si="295"/>
        <v>0.5604569876518003</v>
      </c>
      <c r="AC481" s="171" t="str">
        <f t="shared" si="296"/>
        <v>-0,0846232167937932-0,0196051374653201i</v>
      </c>
      <c r="AD481" s="190">
        <f t="shared" si="297"/>
        <v>-21.223148408470564</v>
      </c>
      <c r="AE481" s="169">
        <f t="shared" si="298"/>
        <v>-166.95608571983382</v>
      </c>
      <c r="AF481" s="98" t="str">
        <f t="shared" si="284"/>
        <v>-0,0000375877424711299</v>
      </c>
      <c r="AG481" s="98" t="str">
        <f t="shared" si="285"/>
        <v>0,00271512178102132i</v>
      </c>
      <c r="AH481" s="98">
        <f t="shared" si="299"/>
        <v>2.7151217810213201E-3</v>
      </c>
      <c r="AI481" s="98">
        <f t="shared" si="300"/>
        <v>1.5707963267948966</v>
      </c>
      <c r="AJ481" s="98" t="str">
        <f t="shared" si="286"/>
        <v>1+2,47654527376675i</v>
      </c>
      <c r="AK481" s="98">
        <f t="shared" si="301"/>
        <v>2.6708194422342415</v>
      </c>
      <c r="AL481" s="98">
        <f t="shared" si="302"/>
        <v>1.1870284480080926</v>
      </c>
      <c r="AM481" s="98" t="str">
        <f t="shared" si="287"/>
        <v>1+192,980027871209i</v>
      </c>
      <c r="AN481" s="98">
        <f t="shared" si="303"/>
        <v>192.98261879550861</v>
      </c>
      <c r="AO481" s="98">
        <f t="shared" si="304"/>
        <v>1.5656144897906388</v>
      </c>
      <c r="AP481" s="168" t="str">
        <f t="shared" si="305"/>
        <v>-0,369718166254657+0,929467628664331i</v>
      </c>
      <c r="AQ481" s="98">
        <f t="shared" si="306"/>
        <v>2.6119091519577649E-3</v>
      </c>
      <c r="AR481" s="169">
        <f t="shared" si="307"/>
        <v>111.69138237670334</v>
      </c>
      <c r="AS481" s="168" t="str">
        <f t="shared" si="308"/>
        <v>0,0495090811651008-0,0714061651704259i</v>
      </c>
      <c r="AT481" s="190">
        <f t="shared" si="309"/>
        <v>-21.220536499318609</v>
      </c>
      <c r="AU481" s="169">
        <f t="shared" si="310"/>
        <v>-55.264703343130471</v>
      </c>
      <c r="AV481" s="225"/>
      <c r="AX481">
        <f t="shared" si="311"/>
        <v>0</v>
      </c>
      <c r="AY481">
        <f t="shared" si="312"/>
        <v>0</v>
      </c>
    </row>
    <row r="482" spans="14:51" x14ac:dyDescent="0.25">
      <c r="N482" s="170">
        <v>64</v>
      </c>
      <c r="O482" s="199">
        <f t="shared" si="278"/>
        <v>436515.83224016649</v>
      </c>
      <c r="P482" s="189" t="str">
        <f t="shared" si="279"/>
        <v>120,833333333333</v>
      </c>
      <c r="Q482" s="160" t="str">
        <f t="shared" si="280"/>
        <v>1+2445,5829616054i</v>
      </c>
      <c r="R482" s="160">
        <f t="shared" si="288"/>
        <v>2445.5831660556223</v>
      </c>
      <c r="S482" s="160">
        <f t="shared" si="289"/>
        <v>1.5703874263568554</v>
      </c>
      <c r="T482" s="160" t="str">
        <f t="shared" si="281"/>
        <v>1+0,16456259180896i</v>
      </c>
      <c r="U482" s="160">
        <f t="shared" si="290"/>
        <v>1.0134499724322275</v>
      </c>
      <c r="V482" s="160">
        <f t="shared" si="291"/>
        <v>0.16310077355938696</v>
      </c>
      <c r="W482" s="98" t="str">
        <f t="shared" si="282"/>
        <v>1-1,4086557858847i</v>
      </c>
      <c r="X482" s="160">
        <f t="shared" si="292"/>
        <v>1.7275158821575105</v>
      </c>
      <c r="Y482" s="160">
        <f t="shared" si="293"/>
        <v>-0.95345916162877398</v>
      </c>
      <c r="Z482" s="98" t="str">
        <f t="shared" si="283"/>
        <v>0,842523907606343+0,545624493725355i</v>
      </c>
      <c r="AA482" s="160">
        <f t="shared" si="294"/>
        <v>1.003769208055971</v>
      </c>
      <c r="AB482" s="160">
        <f t="shared" si="295"/>
        <v>0.57469122603581257</v>
      </c>
      <c r="AC482" s="171" t="str">
        <f t="shared" si="296"/>
        <v>-0,0843528782754796-0,0176404372898156i</v>
      </c>
      <c r="AD482" s="190">
        <f t="shared" si="297"/>
        <v>-21.292103701833959</v>
      </c>
      <c r="AE482" s="169">
        <f t="shared" si="298"/>
        <v>-168.18815344484869</v>
      </c>
      <c r="AF482" s="98" t="str">
        <f t="shared" si="284"/>
        <v>-0,0000375877424711299</v>
      </c>
      <c r="AG482" s="98" t="str">
        <f t="shared" si="285"/>
        <v>0,00277836509170796i</v>
      </c>
      <c r="AH482" s="98">
        <f t="shared" si="299"/>
        <v>2.7783650917079599E-3</v>
      </c>
      <c r="AI482" s="98">
        <f t="shared" si="300"/>
        <v>1.5707963267948966</v>
      </c>
      <c r="AJ482" s="98" t="str">
        <f t="shared" si="286"/>
        <v>1+2,53423142371153i</v>
      </c>
      <c r="AK482" s="98">
        <f t="shared" si="301"/>
        <v>2.7243951455189035</v>
      </c>
      <c r="AL482" s="98">
        <f t="shared" si="302"/>
        <v>1.1949564084985478</v>
      </c>
      <c r="AM482" s="98" t="str">
        <f t="shared" si="287"/>
        <v>1+197,475110170753i</v>
      </c>
      <c r="AN482" s="98">
        <f t="shared" si="303"/>
        <v>197.47764211918025</v>
      </c>
      <c r="AO482" s="98">
        <f t="shared" si="304"/>
        <v>1.565732440761495</v>
      </c>
      <c r="AP482" s="168" t="str">
        <f t="shared" si="305"/>
        <v>-0,355319999523809+0,913991835136499i</v>
      </c>
      <c r="AQ482" s="98">
        <f t="shared" si="306"/>
        <v>-0.16990471412288499</v>
      </c>
      <c r="AR482" s="169">
        <f t="shared" si="307"/>
        <v>111.24390179327334</v>
      </c>
      <c r="AS482" s="168" t="str">
        <f t="shared" si="308"/>
        <v>0,0460954803198042-0,0708298418446343i</v>
      </c>
      <c r="AT482" s="190">
        <f t="shared" si="309"/>
        <v>-21.462008415956845</v>
      </c>
      <c r="AU482" s="169">
        <f t="shared" si="310"/>
        <v>-56.944251651575406</v>
      </c>
      <c r="AV482" s="225"/>
      <c r="AX482">
        <f t="shared" si="311"/>
        <v>0</v>
      </c>
      <c r="AY482">
        <f t="shared" si="312"/>
        <v>0</v>
      </c>
    </row>
    <row r="483" spans="14:51" x14ac:dyDescent="0.25">
      <c r="N483" s="170">
        <v>65</v>
      </c>
      <c r="O483" s="199">
        <f t="shared" si="278"/>
        <v>446683.59215096442</v>
      </c>
      <c r="P483" s="189" t="str">
        <f t="shared" si="279"/>
        <v>120,833333333333</v>
      </c>
      <c r="Q483" s="160" t="str">
        <f t="shared" si="280"/>
        <v>1+2502,54790665202i</v>
      </c>
      <c r="R483" s="160">
        <f t="shared" si="288"/>
        <v>2502.5481064483874</v>
      </c>
      <c r="S483" s="160">
        <f t="shared" si="289"/>
        <v>1.5703967340661751</v>
      </c>
      <c r="T483" s="160" t="str">
        <f t="shared" si="281"/>
        <v>1+0,168395746989668i</v>
      </c>
      <c r="U483" s="160">
        <f t="shared" si="290"/>
        <v>1.0140794483689177</v>
      </c>
      <c r="V483" s="160">
        <f t="shared" si="291"/>
        <v>0.16683055266735441</v>
      </c>
      <c r="W483" s="98" t="str">
        <f t="shared" si="282"/>
        <v>1-1,44146759423156i</v>
      </c>
      <c r="X483" s="160">
        <f t="shared" si="292"/>
        <v>1.754374197604297</v>
      </c>
      <c r="Y483" s="160">
        <f t="shared" si="293"/>
        <v>-0.9642858184388936</v>
      </c>
      <c r="Z483" s="98" t="str">
        <f t="shared" si="283"/>
        <v>0,835102288019099+0,558333720845892i</v>
      </c>
      <c r="AA483" s="160">
        <f t="shared" si="294"/>
        <v>1.0045558099420622</v>
      </c>
      <c r="AB483" s="160">
        <f t="shared" si="295"/>
        <v>0.58932690440962032</v>
      </c>
      <c r="AC483" s="171" t="str">
        <f t="shared" si="296"/>
        <v>-0,0840615485296338-0,0156802633760591i</v>
      </c>
      <c r="AD483" s="190">
        <f t="shared" si="297"/>
        <v>-21.359510713017599</v>
      </c>
      <c r="AE483" s="169">
        <f t="shared" si="298"/>
        <v>-169.4338704784939</v>
      </c>
      <c r="AF483" s="98" t="str">
        <f t="shared" si="284"/>
        <v>-0,0000375877424711299</v>
      </c>
      <c r="AG483" s="98" t="str">
        <f t="shared" si="285"/>
        <v>0,00284308152834223i</v>
      </c>
      <c r="AH483" s="98">
        <f t="shared" si="299"/>
        <v>2.8430815283422301E-3</v>
      </c>
      <c r="AI483" s="98">
        <f t="shared" si="300"/>
        <v>1.5707963267948966</v>
      </c>
      <c r="AJ483" s="98" t="str">
        <f t="shared" si="286"/>
        <v>1+2,5932612567017i</v>
      </c>
      <c r="AK483" s="98">
        <f t="shared" si="301"/>
        <v>2.7793891317176294</v>
      </c>
      <c r="AL483" s="98">
        <f t="shared" si="302"/>
        <v>1.2027521333200411</v>
      </c>
      <c r="AM483" s="98" t="str">
        <f t="shared" si="287"/>
        <v>1+202,074896387602i</v>
      </c>
      <c r="AN483" s="98">
        <f t="shared" si="303"/>
        <v>202.07737070256056</v>
      </c>
      <c r="AO483" s="98">
        <f t="shared" si="304"/>
        <v>1.5658477069766163</v>
      </c>
      <c r="AP483" s="168" t="str">
        <f t="shared" si="305"/>
        <v>-0,341398130407214+0,898555320145026i</v>
      </c>
      <c r="AQ483" s="98">
        <f t="shared" si="306"/>
        <v>-0.34349487026488124</v>
      </c>
      <c r="AR483" s="169">
        <f t="shared" si="307"/>
        <v>110.80384393040327</v>
      </c>
      <c r="AS483" s="168" t="str">
        <f t="shared" si="308"/>
        <v>0,0427880395849854-0,0701807390500525i</v>
      </c>
      <c r="AT483" s="190">
        <f t="shared" si="309"/>
        <v>-21.703005583282476</v>
      </c>
      <c r="AU483" s="169">
        <f t="shared" si="310"/>
        <v>-58.630026548090605</v>
      </c>
      <c r="AV483" s="225"/>
      <c r="AX483">
        <f t="shared" si="311"/>
        <v>0</v>
      </c>
      <c r="AY483">
        <f t="shared" si="312"/>
        <v>0</v>
      </c>
    </row>
    <row r="484" spans="14:51" x14ac:dyDescent="0.25">
      <c r="N484" s="170">
        <v>66</v>
      </c>
      <c r="O484" s="199">
        <f t="shared" ref="O484:O518" si="313">10^(5+(N484/100))</f>
        <v>457088.18961487547</v>
      </c>
      <c r="P484" s="189" t="str">
        <f t="shared" si="279"/>
        <v>120,833333333333</v>
      </c>
      <c r="Q484" s="160" t="str">
        <f t="shared" si="280"/>
        <v>1+2560,83973572388i</v>
      </c>
      <c r="R484" s="160">
        <f t="shared" si="288"/>
        <v>2560.8399309723263</v>
      </c>
      <c r="S484" s="160">
        <f t="shared" si="289"/>
        <v>1.5704058299062313</v>
      </c>
      <c r="T484" s="160" t="str">
        <f t="shared" si="281"/>
        <v>1+0,17231818782441i</v>
      </c>
      <c r="U484" s="160">
        <f t="shared" si="290"/>
        <v>1.0147381720695681</v>
      </c>
      <c r="V484" s="160">
        <f t="shared" si="291"/>
        <v>0.17064236467787688</v>
      </c>
      <c r="W484" s="98" t="str">
        <f t="shared" si="282"/>
        <v>1-1,47504368777695i</v>
      </c>
      <c r="X484" s="160">
        <f t="shared" si="292"/>
        <v>1.7820644996325539</v>
      </c>
      <c r="Y484" s="160">
        <f t="shared" si="293"/>
        <v>-0.97502553611431586</v>
      </c>
      <c r="Z484" s="98" t="str">
        <f t="shared" si="283"/>
        <v>0,827330898276525+0,571338983895638i</v>
      </c>
      <c r="AA484" s="160">
        <f t="shared" si="294"/>
        <v>1.0054375414524475</v>
      </c>
      <c r="AB484" s="160">
        <f t="shared" si="295"/>
        <v>0.60437646372016185</v>
      </c>
      <c r="AC484" s="171" t="str">
        <f t="shared" si="296"/>
        <v>-0,0837475992872176-0,0137237896188214i</v>
      </c>
      <c r="AD484" s="190">
        <f t="shared" si="297"/>
        <v>-21.425467148505881</v>
      </c>
      <c r="AE484" s="169">
        <f t="shared" si="298"/>
        <v>-170.6936076192294</v>
      </c>
      <c r="AF484" s="98" t="str">
        <f t="shared" si="284"/>
        <v>-0,0000375877424711299</v>
      </c>
      <c r="AG484" s="98" t="str">
        <f t="shared" si="285"/>
        <v>0,00290930540443546i</v>
      </c>
      <c r="AH484" s="98">
        <f t="shared" si="299"/>
        <v>2.90930540443546E-3</v>
      </c>
      <c r="AI484" s="98">
        <f t="shared" si="300"/>
        <v>1.5707963267948966</v>
      </c>
      <c r="AJ484" s="98" t="str">
        <f t="shared" si="286"/>
        <v>1+2,65366607113602i</v>
      </c>
      <c r="AK484" s="98">
        <f t="shared" si="301"/>
        <v>2.8358320854906904</v>
      </c>
      <c r="AL484" s="98">
        <f t="shared" si="302"/>
        <v>1.2104159646670045</v>
      </c>
      <c r="AM484" s="98" t="str">
        <f t="shared" si="287"/>
        <v>1+206,781825389292i</v>
      </c>
      <c r="AN484" s="98">
        <f t="shared" si="303"/>
        <v>206.78424338263218</v>
      </c>
      <c r="AO484" s="98">
        <f t="shared" si="304"/>
        <v>1.565960349539417</v>
      </c>
      <c r="AP484" s="168" t="str">
        <f t="shared" si="305"/>
        <v>-0,327943346777283+0,88317196645692i</v>
      </c>
      <c r="AQ484" s="98">
        <f t="shared" si="306"/>
        <v>-0.51812279676266282</v>
      </c>
      <c r="AR484" s="169">
        <f t="shared" si="307"/>
        <v>110.37119268276426</v>
      </c>
      <c r="AS484" s="168" t="str">
        <f t="shared" si="308"/>
        <v>0,0395849342597085-0,0694629064504745i</v>
      </c>
      <c r="AT484" s="190">
        <f t="shared" si="309"/>
        <v>-21.943589945268542</v>
      </c>
      <c r="AU484" s="169">
        <f t="shared" si="310"/>
        <v>-60.322414936465144</v>
      </c>
      <c r="AV484" s="225"/>
      <c r="AX484">
        <f t="shared" si="311"/>
        <v>0</v>
      </c>
      <c r="AY484">
        <f t="shared" si="312"/>
        <v>0</v>
      </c>
    </row>
    <row r="485" spans="14:51" x14ac:dyDescent="0.25">
      <c r="N485" s="170">
        <v>67</v>
      </c>
      <c r="O485" s="199">
        <f t="shared" si="313"/>
        <v>467735.14128719864</v>
      </c>
      <c r="P485" s="189" t="str">
        <f t="shared" si="279"/>
        <v>120,833333333333</v>
      </c>
      <c r="Q485" s="160" t="str">
        <f t="shared" si="280"/>
        <v>1+2620,48935592034i</v>
      </c>
      <c r="R485" s="160">
        <f t="shared" si="288"/>
        <v>2620.4895467243905</v>
      </c>
      <c r="S485" s="160">
        <f t="shared" si="289"/>
        <v>1.5704147186997524</v>
      </c>
      <c r="T485" s="160" t="str">
        <f t="shared" si="281"/>
        <v>1+0,176331994043237i</v>
      </c>
      <c r="U485" s="160">
        <f t="shared" si="290"/>
        <v>1.0154274824541949</v>
      </c>
      <c r="V485" s="160">
        <f t="shared" si="291"/>
        <v>0.17453778735949585</v>
      </c>
      <c r="W485" s="98" t="str">
        <f t="shared" si="282"/>
        <v>1-1,50940186901011i</v>
      </c>
      <c r="X485" s="160">
        <f t="shared" si="292"/>
        <v>1.8106059765093048</v>
      </c>
      <c r="Y485" s="160">
        <f t="shared" si="293"/>
        <v>-0.98567409913466253</v>
      </c>
      <c r="Z485" s="98" t="str">
        <f t="shared" si="283"/>
        <v>0,819193254219045+0,584647178437212i</v>
      </c>
      <c r="AA485" s="160">
        <f t="shared" si="294"/>
        <v>1.0064243195653522</v>
      </c>
      <c r="AB485" s="160">
        <f t="shared" si="295"/>
        <v>0.6198526062066364</v>
      </c>
      <c r="AC485" s="171" t="str">
        <f t="shared" si="296"/>
        <v>-0,0834092904163119-0,0117702745526827i</v>
      </c>
      <c r="AD485" s="190">
        <f t="shared" si="297"/>
        <v>-21.490078703040481</v>
      </c>
      <c r="AE485" s="169">
        <f t="shared" si="298"/>
        <v>-171.96776099706986</v>
      </c>
      <c r="AF485" s="98" t="str">
        <f t="shared" si="284"/>
        <v>-0,0000375877424711299</v>
      </c>
      <c r="AG485" s="98" t="str">
        <f t="shared" si="285"/>
        <v>0,00297707183276333i</v>
      </c>
      <c r="AH485" s="98">
        <f t="shared" si="299"/>
        <v>2.9770718327633301E-3</v>
      </c>
      <c r="AI485" s="98">
        <f t="shared" si="300"/>
        <v>1.5707963267948966</v>
      </c>
      <c r="AJ485" s="98" t="str">
        <f t="shared" si="286"/>
        <v>1+2,71547789444669i</v>
      </c>
      <c r="AK485" s="98">
        <f t="shared" si="301"/>
        <v>2.8937553793001629</v>
      </c>
      <c r="AL485" s="98">
        <f t="shared" si="302"/>
        <v>1.217948363954797</v>
      </c>
      <c r="AM485" s="98" t="str">
        <f t="shared" si="287"/>
        <v>1+211,598392851885i</v>
      </c>
      <c r="AN485" s="98">
        <f t="shared" si="303"/>
        <v>211.60075580559879</v>
      </c>
      <c r="AO485" s="98">
        <f t="shared" si="304"/>
        <v>1.5660704281630344</v>
      </c>
      <c r="AP485" s="168" t="str">
        <f t="shared" si="305"/>
        <v>-0,314946087078417+0,867854879939749i</v>
      </c>
      <c r="AQ485" s="98">
        <f t="shared" si="306"/>
        <v>-0.69375344281154339</v>
      </c>
      <c r="AR485" s="169">
        <f t="shared" si="307"/>
        <v>109.94592503451429</v>
      </c>
      <c r="AS485" s="168" t="str">
        <f t="shared" si="308"/>
        <v>0,0364843198513811-0,0686801578059019i</v>
      </c>
      <c r="AT485" s="190">
        <f t="shared" si="309"/>
        <v>-22.183832145852023</v>
      </c>
      <c r="AU485" s="169">
        <f t="shared" si="310"/>
        <v>-62.021835962555549</v>
      </c>
      <c r="AV485" s="225"/>
      <c r="AX485">
        <f t="shared" si="311"/>
        <v>0</v>
      </c>
      <c r="AY485">
        <f t="shared" si="312"/>
        <v>0</v>
      </c>
    </row>
    <row r="486" spans="14:51" x14ac:dyDescent="0.25">
      <c r="N486" s="170">
        <v>68</v>
      </c>
      <c r="O486" s="199">
        <f t="shared" si="313"/>
        <v>478630.09232263872</v>
      </c>
      <c r="P486" s="189" t="str">
        <f t="shared" si="279"/>
        <v>120,833333333333</v>
      </c>
      <c r="Q486" s="160" t="str">
        <f t="shared" si="280"/>
        <v>1+2681,52839425959i</v>
      </c>
      <c r="R486" s="160">
        <f t="shared" si="288"/>
        <v>2681.52858072041</v>
      </c>
      <c r="S486" s="160">
        <f t="shared" si="289"/>
        <v>1.570423405159689</v>
      </c>
      <c r="T486" s="160" t="str">
        <f t="shared" si="281"/>
        <v>1+0,180439293819336i</v>
      </c>
      <c r="U486" s="160">
        <f t="shared" si="290"/>
        <v>1.0161487778637637</v>
      </c>
      <c r="V486" s="160">
        <f t="shared" si="291"/>
        <v>0.17851841299806054</v>
      </c>
      <c r="W486" s="98" t="str">
        <f t="shared" si="282"/>
        <v>1-1,54456035509352i</v>
      </c>
      <c r="X486" s="160">
        <f t="shared" si="292"/>
        <v>1.8400181223364678</v>
      </c>
      <c r="Y486" s="160">
        <f t="shared" si="293"/>
        <v>-0.99622749375180519</v>
      </c>
      <c r="Z486" s="98" t="str">
        <f t="shared" si="283"/>
        <v>0,81067209481258+0,598265360651516i</v>
      </c>
      <c r="AA486" s="160">
        <f t="shared" si="294"/>
        <v>1.0075270155501068</v>
      </c>
      <c r="AB486" s="160">
        <f t="shared" si="295"/>
        <v>0.63576826799348973</v>
      </c>
      <c r="AC486" s="171" t="str">
        <f t="shared" si="296"/>
        <v>-0,0830447661426842-0,00981907412532861i</v>
      </c>
      <c r="AD486" s="190">
        <f t="shared" si="297"/>
        <v>-21.55345948936877</v>
      </c>
      <c r="AE486" s="169">
        <f t="shared" si="298"/>
        <v>-173.25675086529435</v>
      </c>
      <c r="AF486" s="98" t="str">
        <f t="shared" si="284"/>
        <v>-0,0000375877424711299</v>
      </c>
      <c r="AG486" s="98" t="str">
        <f t="shared" si="285"/>
        <v>0,00304641674398314i</v>
      </c>
      <c r="AH486" s="98">
        <f t="shared" si="299"/>
        <v>3.04641674398314E-3</v>
      </c>
      <c r="AI486" s="98">
        <f t="shared" si="300"/>
        <v>1.5707963267948966</v>
      </c>
      <c r="AJ486" s="98" t="str">
        <f t="shared" si="286"/>
        <v>1+2,7787295000806i</v>
      </c>
      <c r="AK486" s="98">
        <f t="shared" si="301"/>
        <v>2.9531910934814531</v>
      </c>
      <c r="AL486" s="98">
        <f t="shared" si="302"/>
        <v>1.2253499050392784</v>
      </c>
      <c r="AM486" s="98" t="str">
        <f t="shared" si="287"/>
        <v>1+216,527152583204i</v>
      </c>
      <c r="AN486" s="98">
        <f t="shared" si="303"/>
        <v>216.52946175010484</v>
      </c>
      <c r="AO486" s="98">
        <f t="shared" si="304"/>
        <v>1.5661780012019348</v>
      </c>
      <c r="AP486" s="168" t="str">
        <f t="shared" si="305"/>
        <v>-0,302396491785511+0,852616397993495i</v>
      </c>
      <c r="AQ486" s="98">
        <f t="shared" si="306"/>
        <v>-0.87035249386665603</v>
      </c>
      <c r="AR486" s="169">
        <f t="shared" si="307"/>
        <v>109.52801144959918</v>
      </c>
      <c r="AS486" s="168" t="str">
        <f t="shared" si="308"/>
        <v>0,0334843495550647-0,0678360758127063i</v>
      </c>
      <c r="AT486" s="190">
        <f t="shared" si="309"/>
        <v>-22.423811983235428</v>
      </c>
      <c r="AU486" s="169">
        <f t="shared" si="310"/>
        <v>-63.728739415695159</v>
      </c>
      <c r="AV486" s="225"/>
      <c r="AX486">
        <f t="shared" si="311"/>
        <v>0</v>
      </c>
      <c r="AY486">
        <f t="shared" si="312"/>
        <v>0</v>
      </c>
    </row>
    <row r="487" spans="14:51" x14ac:dyDescent="0.25">
      <c r="N487" s="170">
        <v>69</v>
      </c>
      <c r="O487" s="199">
        <f t="shared" si="313"/>
        <v>489778.81936844654</v>
      </c>
      <c r="P487" s="189" t="str">
        <f t="shared" si="279"/>
        <v>120,833333333333</v>
      </c>
      <c r="Q487" s="160" t="str">
        <f t="shared" si="280"/>
        <v>1+2743,98921444771i</v>
      </c>
      <c r="R487" s="160">
        <f t="shared" si="288"/>
        <v>2743.9893966641635</v>
      </c>
      <c r="S487" s="160">
        <f t="shared" si="289"/>
        <v>1.5704318938917117</v>
      </c>
      <c r="T487" s="160" t="str">
        <f t="shared" si="281"/>
        <v>1+0,184642264897415i</v>
      </c>
      <c r="U487" s="160">
        <f t="shared" si="290"/>
        <v>1.0169035185239783</v>
      </c>
      <c r="V487" s="160">
        <f t="shared" si="291"/>
        <v>0.18258584732787234</v>
      </c>
      <c r="W487" s="98" t="str">
        <f t="shared" si="282"/>
        <v>1-1,58053778752187i</v>
      </c>
      <c r="X487" s="160">
        <f t="shared" si="292"/>
        <v>1.8703207473009884</v>
      </c>
      <c r="Y487" s="160">
        <f t="shared" si="293"/>
        <v>-1.0066819123491757</v>
      </c>
      <c r="Z487" s="98" t="str">
        <f t="shared" si="283"/>
        <v>0,801749345535578+0,612200751079015i</v>
      </c>
      <c r="AA487" s="160">
        <f t="shared" si="294"/>
        <v>1.0087575390986863</v>
      </c>
      <c r="AB487" s="160">
        <f t="shared" si="295"/>
        <v>0.65213658508011141</v>
      </c>
      <c r="AC487" s="171" t="str">
        <f t="shared" si="296"/>
        <v>-0,0826520520365851-0,00786965599844831i</v>
      </c>
      <c r="AD487" s="190">
        <f t="shared" si="297"/>
        <v>-21.615732493317399</v>
      </c>
      <c r="AE487" s="169">
        <f t="shared" si="298"/>
        <v>-174.56101996295567</v>
      </c>
      <c r="AF487" s="98" t="str">
        <f t="shared" si="284"/>
        <v>-0,0000375877424711299</v>
      </c>
      <c r="AG487" s="98" t="str">
        <f t="shared" si="285"/>
        <v>0,00311737690568469i</v>
      </c>
      <c r="AH487" s="98">
        <f t="shared" si="299"/>
        <v>3.1173769056846898E-3</v>
      </c>
      <c r="AI487" s="98">
        <f t="shared" si="300"/>
        <v>1.5707963267948966</v>
      </c>
      <c r="AJ487" s="98" t="str">
        <f t="shared" si="286"/>
        <v>1+2,84345442487628i</v>
      </c>
      <c r="AK487" s="98">
        <f t="shared" si="301"/>
        <v>3.0141720366210847</v>
      </c>
      <c r="AL487" s="98">
        <f t="shared" si="302"/>
        <v>1.2326212675232291</v>
      </c>
      <c r="AM487" s="98" t="str">
        <f t="shared" si="287"/>
        <v>1+221,570717876898i</v>
      </c>
      <c r="AN487" s="98">
        <f t="shared" si="303"/>
        <v>221.57297448128446</v>
      </c>
      <c r="AO487" s="98">
        <f t="shared" si="304"/>
        <v>1.5662831256828031</v>
      </c>
      <c r="AP487" s="168" t="str">
        <f t="shared" si="305"/>
        <v>-0,290284452267273+0,837468100786892i</v>
      </c>
      <c r="AQ487" s="98">
        <f t="shared" si="306"/>
        <v>-1.0478863923906083</v>
      </c>
      <c r="AR487" s="169">
        <f t="shared" si="307"/>
        <v>109.11741625703634</v>
      </c>
      <c r="AS487" s="168" t="str">
        <f t="shared" si="308"/>
        <v>0,0305831915170729-0,0669340182641769i</v>
      </c>
      <c r="AT487" s="190">
        <f t="shared" si="309"/>
        <v>-22.663618885708004</v>
      </c>
      <c r="AU487" s="169">
        <f t="shared" si="310"/>
        <v>-65.443603705919344</v>
      </c>
      <c r="AV487" s="225"/>
      <c r="AX487">
        <f t="shared" si="311"/>
        <v>0</v>
      </c>
      <c r="AY487">
        <f t="shared" si="312"/>
        <v>0</v>
      </c>
    </row>
    <row r="488" spans="14:51" x14ac:dyDescent="0.25">
      <c r="N488" s="170">
        <v>70</v>
      </c>
      <c r="O488" s="199">
        <f t="shared" si="313"/>
        <v>501187.23362727347</v>
      </c>
      <c r="P488" s="189" t="str">
        <f t="shared" si="279"/>
        <v>120,833333333333</v>
      </c>
      <c r="Q488" s="160" t="str">
        <f t="shared" si="280"/>
        <v>1+2807,90493403832i</v>
      </c>
      <c r="R488" s="160">
        <f t="shared" si="288"/>
        <v>2807.9051121070211</v>
      </c>
      <c r="S488" s="160">
        <f t="shared" si="289"/>
        <v>1.5704401893966535</v>
      </c>
      <c r="T488" s="160" t="str">
        <f t="shared" si="281"/>
        <v>1+0,188943135748372i</v>
      </c>
      <c r="U488" s="160">
        <f t="shared" si="290"/>
        <v>1.0176932290953045</v>
      </c>
      <c r="V488" s="160">
        <f t="shared" si="291"/>
        <v>0.18674170835796083</v>
      </c>
      <c r="W488" s="98" t="str">
        <f t="shared" si="282"/>
        <v>1-1,61735324200606i</v>
      </c>
      <c r="X488" s="160">
        <f t="shared" si="292"/>
        <v>1.9015339885017866</v>
      </c>
      <c r="Y488" s="160">
        <f t="shared" si="293"/>
        <v>-1.0170337568287962</v>
      </c>
      <c r="Z488" s="98" t="str">
        <f t="shared" si="283"/>
        <v>0,792406080040529+0,626460738448171i</v>
      </c>
      <c r="AA488" s="160">
        <f t="shared" si="294"/>
        <v>1.0101289286532811</v>
      </c>
      <c r="AB488" s="160">
        <f t="shared" si="295"/>
        <v>0.66897085185626515</v>
      </c>
      <c r="AC488" s="171" t="str">
        <f t="shared" si="296"/>
        <v>-0,0822290530035723-0,00592161545949006i</v>
      </c>
      <c r="AD488" s="190">
        <f t="shared" si="297"/>
        <v>-21.677030052400674</v>
      </c>
      <c r="AE488" s="169">
        <f t="shared" si="298"/>
        <v>-175.88103139943991</v>
      </c>
      <c r="AF488" s="98" t="str">
        <f t="shared" si="284"/>
        <v>-0,0000375877424711299</v>
      </c>
      <c r="AG488" s="98" t="str">
        <f t="shared" si="285"/>
        <v>0,00318998994188502i</v>
      </c>
      <c r="AH488" s="98">
        <f t="shared" si="299"/>
        <v>3.1899899418850199E-3</v>
      </c>
      <c r="AI488" s="98">
        <f t="shared" si="300"/>
        <v>1.5707963267948966</v>
      </c>
      <c r="AJ488" s="98" t="str">
        <f t="shared" si="286"/>
        <v>1+2,90968698684561i</v>
      </c>
      <c r="AK488" s="98">
        <f t="shared" si="301"/>
        <v>3.076731766244611</v>
      </c>
      <c r="AL488" s="98">
        <f t="shared" si="302"/>
        <v>1.2397632301726704</v>
      </c>
      <c r="AM488" s="98" t="str">
        <f t="shared" si="287"/>
        <v>1+226,731762898046i</v>
      </c>
      <c r="AN488" s="98">
        <f t="shared" si="303"/>
        <v>226.7339681363508</v>
      </c>
      <c r="AO488" s="98">
        <f t="shared" si="304"/>
        <v>1.5663858573347311</v>
      </c>
      <c r="AP488" s="168" t="str">
        <f t="shared" si="305"/>
        <v>-0,278599656981799+0,82242082498191i</v>
      </c>
      <c r="AQ488" s="98">
        <f t="shared" si="306"/>
        <v>-1.2263223549954514</v>
      </c>
      <c r="AR488" s="169">
        <f t="shared" si="307"/>
        <v>108.71409802986105</v>
      </c>
      <c r="AS488" s="168" t="str">
        <f t="shared" si="308"/>
        <v>0,0277790458321529-0,0659771255728871i</v>
      </c>
      <c r="AT488" s="190">
        <f t="shared" si="309"/>
        <v>-22.903352407396124</v>
      </c>
      <c r="AU488" s="169">
        <f t="shared" si="310"/>
        <v>-67.166933369578828</v>
      </c>
      <c r="AV488" s="225"/>
      <c r="AX488">
        <f t="shared" si="311"/>
        <v>0</v>
      </c>
      <c r="AY488">
        <f t="shared" si="312"/>
        <v>0</v>
      </c>
    </row>
    <row r="489" spans="14:51" x14ac:dyDescent="0.25">
      <c r="N489" s="170">
        <v>71</v>
      </c>
      <c r="O489" s="199">
        <f t="shared" si="313"/>
        <v>512861.38399136515</v>
      </c>
      <c r="P489" s="189" t="str">
        <f t="shared" si="279"/>
        <v>120,833333333333</v>
      </c>
      <c r="Q489" s="160" t="str">
        <f t="shared" si="280"/>
        <v>1+2873,30944199195i</v>
      </c>
      <c r="R489" s="160">
        <f t="shared" si="288"/>
        <v>2873.3096160073128</v>
      </c>
      <c r="S489" s="160">
        <f t="shared" si="289"/>
        <v>1.5704482960728969</v>
      </c>
      <c r="T489" s="160" t="str">
        <f t="shared" si="281"/>
        <v>1+0,193344186750859i</v>
      </c>
      <c r="U489" s="160">
        <f t="shared" si="290"/>
        <v>1.0185195013107755</v>
      </c>
      <c r="V489" s="160">
        <f t="shared" si="291"/>
        <v>0.19098762508757239</v>
      </c>
      <c r="W489" s="98" t="str">
        <f t="shared" si="282"/>
        <v>1-1,65502623858736i</v>
      </c>
      <c r="X489" s="160">
        <f t="shared" si="292"/>
        <v>1.9336783213380204</v>
      </c>
      <c r="Y489" s="160">
        <f t="shared" si="293"/>
        <v>-1.0272796410478149</v>
      </c>
      <c r="Z489" s="98" t="str">
        <f t="shared" si="283"/>
        <v>0,782622480008647+0,641052883593038i</v>
      </c>
      <c r="AA489" s="160">
        <f t="shared" si="294"/>
        <v>1.0116554481530924</v>
      </c>
      <c r="AB489" s="160">
        <f t="shared" si="295"/>
        <v>0.68628447120989311</v>
      </c>
      <c r="AC489" s="171" t="str">
        <f t="shared" si="296"/>
        <v>-0,0817735525561777-0,00397469300892084i</v>
      </c>
      <c r="AD489" s="190">
        <f t="shared" si="297"/>
        <v>-21.737494355084092</v>
      </c>
      <c r="AE489" s="169">
        <f t="shared" si="298"/>
        <v>-177.21726600919212</v>
      </c>
      <c r="AF489" s="98" t="str">
        <f t="shared" si="284"/>
        <v>-0,0000375877424711299</v>
      </c>
      <c r="AG489" s="98" t="str">
        <f t="shared" si="285"/>
        <v>0,00326429435297702i</v>
      </c>
      <c r="AH489" s="98">
        <f t="shared" si="299"/>
        <v>3.2642943529770201E-3</v>
      </c>
      <c r="AI489" s="98">
        <f t="shared" si="300"/>
        <v>1.5707963267948966</v>
      </c>
      <c r="AJ489" s="98" t="str">
        <f t="shared" si="286"/>
        <v>1+2,9774623033696i</v>
      </c>
      <c r="AK489" s="98">
        <f t="shared" si="301"/>
        <v>3.1409046098197577</v>
      </c>
      <c r="AL489" s="98">
        <f t="shared" si="302"/>
        <v>1.2467766644634468</v>
      </c>
      <c r="AM489" s="98" t="str">
        <f t="shared" si="287"/>
        <v>1+232,013024101032i</v>
      </c>
      <c r="AN489" s="98">
        <f t="shared" si="303"/>
        <v>232.01517914245619</v>
      </c>
      <c r="AO489" s="98">
        <f t="shared" si="304"/>
        <v>1.5664862506187218</v>
      </c>
      <c r="AP489" s="168" t="str">
        <f t="shared" si="305"/>
        <v>-0,267331634960856+0,807484679641703i</v>
      </c>
      <c r="AQ489" s="98">
        <f t="shared" si="306"/>
        <v>-1.4056283861829686</v>
      </c>
      <c r="AR489" s="169">
        <f t="shared" si="307"/>
        <v>108.3180099565714</v>
      </c>
      <c r="AS489" s="168" t="str">
        <f t="shared" si="308"/>
        <v>0,025070161212383-0,0649683297084468i</v>
      </c>
      <c r="AT489" s="190">
        <f t="shared" si="309"/>
        <v>-23.143122741267064</v>
      </c>
      <c r="AU489" s="169">
        <f t="shared" si="310"/>
        <v>-68.899256052620728</v>
      </c>
      <c r="AV489" s="225"/>
      <c r="AX489">
        <f t="shared" si="311"/>
        <v>0</v>
      </c>
      <c r="AY489">
        <f t="shared" si="312"/>
        <v>0</v>
      </c>
    </row>
    <row r="490" spans="14:51" x14ac:dyDescent="0.25">
      <c r="N490" s="170">
        <v>72</v>
      </c>
      <c r="O490" s="199">
        <f t="shared" si="313"/>
        <v>524807.46024977288</v>
      </c>
      <c r="P490" s="189" t="str">
        <f t="shared" si="279"/>
        <v>120,833333333333</v>
      </c>
      <c r="Q490" s="160" t="str">
        <f t="shared" si="280"/>
        <v>1+2940,2374166445i</v>
      </c>
      <c r="R490" s="160">
        <f t="shared" si="288"/>
        <v>2940.23758669879</v>
      </c>
      <c r="S490" s="160">
        <f t="shared" si="289"/>
        <v>1.5704562182187043</v>
      </c>
      <c r="T490" s="160" t="str">
        <f t="shared" si="281"/>
        <v>1+0,197847751400376i</v>
      </c>
      <c r="U490" s="160">
        <f t="shared" si="290"/>
        <v>1.0193839967030016</v>
      </c>
      <c r="V490" s="160">
        <f t="shared" si="291"/>
        <v>0.19532523610480285</v>
      </c>
      <c r="W490" s="98" t="str">
        <f t="shared" si="282"/>
        <v>1-1,69357675198722i</v>
      </c>
      <c r="X490" s="160">
        <f t="shared" si="292"/>
        <v>1.9667745714421829</v>
      </c>
      <c r="Y490" s="160">
        <f t="shared" si="293"/>
        <v>-1.0374163923330373</v>
      </c>
      <c r="Z490" s="98" t="str">
        <f t="shared" si="283"/>
        <v>0,772377793112548+0,655984923462127i</v>
      </c>
      <c r="AA490" s="160">
        <f t="shared" si="294"/>
        <v>1.0133526903813017</v>
      </c>
      <c r="AB490" s="160">
        <f t="shared" si="295"/>
        <v>0.70409089523902302</v>
      </c>
      <c r="AC490" s="171" t="str">
        <f t="shared" si="296"/>
        <v>-0,0812832136849563-0,00202879366104143i</v>
      </c>
      <c r="AD490" s="190">
        <f t="shared" si="297"/>
        <v>-21.79727795653498</v>
      </c>
      <c r="AE490" s="169">
        <f t="shared" si="298"/>
        <v>-178.57021912196114</v>
      </c>
      <c r="AF490" s="98" t="str">
        <f t="shared" si="284"/>
        <v>-0,0000375877424711299</v>
      </c>
      <c r="AG490" s="98" t="str">
        <f t="shared" si="285"/>
        <v>0,00334032953614302i</v>
      </c>
      <c r="AH490" s="98">
        <f t="shared" si="299"/>
        <v>3.3403295361430201E-3</v>
      </c>
      <c r="AI490" s="98">
        <f t="shared" si="300"/>
        <v>1.5707963267948966</v>
      </c>
      <c r="AJ490" s="98" t="str">
        <f t="shared" si="286"/>
        <v>1+3,04681630981823i</v>
      </c>
      <c r="AK490" s="98">
        <f t="shared" si="301"/>
        <v>3.2067256860814228</v>
      </c>
      <c r="AL490" s="98">
        <f t="shared" si="302"/>
        <v>1.2536625282758675</v>
      </c>
      <c r="AM490" s="98" t="str">
        <f t="shared" si="287"/>
        <v>1+237,417301680452i</v>
      </c>
      <c r="AN490" s="98">
        <f t="shared" si="303"/>
        <v>237.41940766758466</v>
      </c>
      <c r="AO490" s="98">
        <f t="shared" si="304"/>
        <v>1.566584358756524</v>
      </c>
      <c r="AP490" s="168" t="str">
        <f t="shared" si="305"/>
        <v>-0,256469796565339+0,792669064030726i</v>
      </c>
      <c r="AQ490" s="98">
        <f t="shared" si="306"/>
        <v>-1.5857732888905987</v>
      </c>
      <c r="AR490" s="169">
        <f t="shared" si="307"/>
        <v>107.92910020404987</v>
      </c>
      <c r="AS490" s="168" t="str">
        <f t="shared" si="308"/>
        <v>0,0224548512503669-0,0639103646155435i</v>
      </c>
      <c r="AT490" s="190">
        <f t="shared" si="309"/>
        <v>-23.383051245425577</v>
      </c>
      <c r="AU490" s="169">
        <f t="shared" si="310"/>
        <v>-70.641118917911299</v>
      </c>
      <c r="AV490" s="225"/>
      <c r="AX490">
        <f t="shared" si="311"/>
        <v>0</v>
      </c>
      <c r="AY490">
        <f t="shared" si="312"/>
        <v>0</v>
      </c>
    </row>
    <row r="491" spans="14:51" x14ac:dyDescent="0.25">
      <c r="N491" s="170">
        <v>73</v>
      </c>
      <c r="O491" s="199">
        <f t="shared" si="313"/>
        <v>537031.7963702539</v>
      </c>
      <c r="P491" s="189" t="str">
        <f t="shared" si="279"/>
        <v>120,833333333333</v>
      </c>
      <c r="Q491" s="160" t="str">
        <f t="shared" si="280"/>
        <v>1+3008,72434409398i</v>
      </c>
      <c r="R491" s="160">
        <f t="shared" si="288"/>
        <v>3008.7245102773618</v>
      </c>
      <c r="S491" s="160">
        <f t="shared" si="289"/>
        <v>1.5704639600344985</v>
      </c>
      <c r="T491" s="160" t="str">
        <f t="shared" si="281"/>
        <v>1+0,20245621754651i</v>
      </c>
      <c r="U491" s="160">
        <f t="shared" si="290"/>
        <v>1.0202884494216524</v>
      </c>
      <c r="V491" s="160">
        <f t="shared" si="291"/>
        <v>0.19975618806213402</v>
      </c>
      <c r="W491" s="98" t="str">
        <f t="shared" si="282"/>
        <v>1-1,73302522219813i</v>
      </c>
      <c r="X491" s="160">
        <f t="shared" si="292"/>
        <v>2.000843927140465</v>
      </c>
      <c r="Y491" s="160">
        <f t="shared" si="293"/>
        <v>-1.0474410521078044</v>
      </c>
      <c r="Z491" s="98" t="str">
        <f t="shared" si="283"/>
        <v>0,7616502889978+0,671264775220622i</v>
      </c>
      <c r="AA491" s="160">
        <f t="shared" si="294"/>
        <v>1.0152376870380768</v>
      </c>
      <c r="AB491" s="160">
        <f t="shared" si="295"/>
        <v>0.72240355553602831</v>
      </c>
      <c r="AC491" s="171" t="str">
        <f t="shared" si="296"/>
        <v>-0,0807555816910454-0,0000840079601595704i</v>
      </c>
      <c r="AD491" s="190">
        <f t="shared" si="297"/>
        <v>-21.856544305186134</v>
      </c>
      <c r="AE491" s="169">
        <f t="shared" si="298"/>
        <v>-179.94039669177553</v>
      </c>
      <c r="AF491" s="98" t="str">
        <f t="shared" si="284"/>
        <v>-0,0000375877424711299</v>
      </c>
      <c r="AG491" s="98" t="str">
        <f t="shared" si="285"/>
        <v>0,00341813580624358i</v>
      </c>
      <c r="AH491" s="98">
        <f t="shared" si="299"/>
        <v>3.4181358062435798E-3</v>
      </c>
      <c r="AI491" s="98">
        <f t="shared" si="300"/>
        <v>1.5707963267948966</v>
      </c>
      <c r="AJ491" s="98" t="str">
        <f t="shared" si="286"/>
        <v>1+3,11778577860371i</v>
      </c>
      <c r="AK491" s="98">
        <f t="shared" si="301"/>
        <v>3.2742309266854623</v>
      </c>
      <c r="AL491" s="98">
        <f t="shared" si="302"/>
        <v>1.2604218597526462</v>
      </c>
      <c r="AM491" s="98" t="str">
        <f t="shared" si="287"/>
        <v>1+242,947461055812i</v>
      </c>
      <c r="AN491" s="98">
        <f t="shared" si="303"/>
        <v>242.94951910523571</v>
      </c>
      <c r="AO491" s="98">
        <f t="shared" si="304"/>
        <v>1.5666802337588117</v>
      </c>
      <c r="AP491" s="168" t="str">
        <f t="shared" si="305"/>
        <v>-0,246003471517987+0,777982687030791i</v>
      </c>
      <c r="AQ491" s="98">
        <f t="shared" si="306"/>
        <v>-1.7667266720481405</v>
      </c>
      <c r="AR491" s="169">
        <f t="shared" si="307"/>
        <v>107.54731227109227</v>
      </c>
      <c r="AS491" s="168" t="str">
        <f t="shared" si="308"/>
        <v>0,0199315101790285-0,0628057781868996i</v>
      </c>
      <c r="AT491" s="190">
        <f t="shared" si="309"/>
        <v>-23.62327097723427</v>
      </c>
      <c r="AU491" s="169">
        <f t="shared" si="310"/>
        <v>-72.393084420683252</v>
      </c>
      <c r="AV491" s="225"/>
      <c r="AX491">
        <f t="shared" si="311"/>
        <v>0</v>
      </c>
      <c r="AY491">
        <f t="shared" si="312"/>
        <v>0</v>
      </c>
    </row>
    <row r="492" spans="14:51" x14ac:dyDescent="0.25">
      <c r="N492" s="170">
        <v>74</v>
      </c>
      <c r="O492" s="199">
        <f t="shared" si="313"/>
        <v>549540.87385762564</v>
      </c>
      <c r="P492" s="189" t="str">
        <f t="shared" si="279"/>
        <v>120,833333333333</v>
      </c>
      <c r="Q492" s="160" t="str">
        <f t="shared" si="280"/>
        <v>1+3078,80653701588i</v>
      </c>
      <c r="R492" s="160">
        <f t="shared" si="288"/>
        <v>3078.8066994164665</v>
      </c>
      <c r="S492" s="160">
        <f t="shared" si="289"/>
        <v>1.5704715256250887</v>
      </c>
      <c r="T492" s="160" t="str">
        <f t="shared" si="281"/>
        <v>1+0,207172028659011i</v>
      </c>
      <c r="U492" s="160">
        <f t="shared" si="290"/>
        <v>1.0212346691425482</v>
      </c>
      <c r="V492" s="160">
        <f t="shared" si="291"/>
        <v>0.20428213402257012</v>
      </c>
      <c r="W492" s="98" t="str">
        <f t="shared" si="282"/>
        <v>1-1,77339256532114i</v>
      </c>
      <c r="X492" s="160">
        <f t="shared" si="292"/>
        <v>2.0359079524222836</v>
      </c>
      <c r="Y492" s="160">
        <f t="shared" si="293"/>
        <v>-1.057350875670797</v>
      </c>
      <c r="Z492" s="98" t="str">
        <f t="shared" si="283"/>
        <v>0,750417213189914+0,686900540448177i</v>
      </c>
      <c r="AA492" s="160">
        <f t="shared" si="294"/>
        <v>1.0173290255958072</v>
      </c>
      <c r="AB492" s="160">
        <f t="shared" si="295"/>
        <v>0.74123578198602358</v>
      </c>
      <c r="AC492" s="171" t="str">
        <f t="shared" si="296"/>
        <v>-0,080188089386467+0,00185936533376115i</v>
      </c>
      <c r="AD492" s="190">
        <f t="shared" si="297"/>
        <v>-21.915468272703983</v>
      </c>
      <c r="AE492" s="169">
        <f t="shared" si="298"/>
        <v>178.671689273353</v>
      </c>
      <c r="AF492" s="98" t="str">
        <f t="shared" si="284"/>
        <v>-0,0000375877424711299</v>
      </c>
      <c r="AG492" s="98" t="str">
        <f t="shared" si="285"/>
        <v>0,00349775441719298i</v>
      </c>
      <c r="AH492" s="98">
        <f t="shared" si="299"/>
        <v>3.4977544171929799E-3</v>
      </c>
      <c r="AI492" s="98">
        <f t="shared" si="300"/>
        <v>1.5707963267948966</v>
      </c>
      <c r="AJ492" s="98" t="str">
        <f t="shared" si="286"/>
        <v>1+3,19040833867776i</v>
      </c>
      <c r="AK492" s="98">
        <f t="shared" si="301"/>
        <v>3.3434570982000928</v>
      </c>
      <c r="AL492" s="98">
        <f t="shared" si="302"/>
        <v>1.2670557713331294</v>
      </c>
      <c r="AM492" s="98" t="str">
        <f t="shared" si="287"/>
        <v>1+248,606434390814i</v>
      </c>
      <c r="AN492" s="98">
        <f t="shared" si="303"/>
        <v>248.60844559369679</v>
      </c>
      <c r="AO492" s="98">
        <f t="shared" si="304"/>
        <v>1.5667739264527263</v>
      </c>
      <c r="AP492" s="168" t="str">
        <f t="shared" si="305"/>
        <v>-0,235921944239791+0,763433587912491i</v>
      </c>
      <c r="AQ492" s="98">
        <f t="shared" si="306"/>
        <v>-1.9484589553525746</v>
      </c>
      <c r="AR492" s="169">
        <f t="shared" si="307"/>
        <v>107.17258533180021</v>
      </c>
      <c r="AS492" s="168" t="str">
        <f t="shared" si="308"/>
        <v>0,0174986280049361-0,061656945872751i</v>
      </c>
      <c r="AT492" s="190">
        <f t="shared" si="309"/>
        <v>-23.863927228056561</v>
      </c>
      <c r="AU492" s="169">
        <f t="shared" si="310"/>
        <v>-74.155725394846755</v>
      </c>
      <c r="AV492" s="225"/>
      <c r="AX492">
        <f t="shared" si="311"/>
        <v>0</v>
      </c>
      <c r="AY492">
        <f t="shared" si="312"/>
        <v>0</v>
      </c>
    </row>
    <row r="493" spans="14:51" x14ac:dyDescent="0.25">
      <c r="N493" s="170">
        <v>75</v>
      </c>
      <c r="O493" s="199">
        <f t="shared" si="313"/>
        <v>562341.32519035018</v>
      </c>
      <c r="P493" s="189" t="str">
        <f t="shared" si="279"/>
        <v>120,833333333333</v>
      </c>
      <c r="Q493" s="160" t="str">
        <f t="shared" si="280"/>
        <v>1+3150,52115391653i</v>
      </c>
      <c r="R493" s="160">
        <f t="shared" si="288"/>
        <v>3150.521312620428</v>
      </c>
      <c r="S493" s="160">
        <f t="shared" si="289"/>
        <v>1.570478919001848</v>
      </c>
      <c r="T493" s="160" t="str">
        <f t="shared" si="281"/>
        <v>1+0,211997685123354i</v>
      </c>
      <c r="U493" s="160">
        <f t="shared" si="290"/>
        <v>1.0222245440692865</v>
      </c>
      <c r="V493" s="160">
        <f t="shared" si="291"/>
        <v>0.20890473166991619</v>
      </c>
      <c r="W493" s="98" t="str">
        <f t="shared" si="282"/>
        <v>1-1,81470018465591i</v>
      </c>
      <c r="X493" s="160">
        <f t="shared" si="292"/>
        <v>2.0719886004006378</v>
      </c>
      <c r="Y493" s="160">
        <f t="shared" si="293"/>
        <v>-1.0671433311708154</v>
      </c>
      <c r="Z493" s="98" t="str">
        <f t="shared" si="283"/>
        <v>0,738654738829058+0,702900509434484i</v>
      </c>
      <c r="AA493" s="160">
        <f t="shared" si="294"/>
        <v>1.0196469729067412</v>
      </c>
      <c r="AB493" s="160">
        <f t="shared" si="295"/>
        <v>0.76060070901741739</v>
      </c>
      <c r="AC493" s="171" t="str">
        <f t="shared" si="296"/>
        <v>-0,0795780651112383+0,00380079499676981i</v>
      </c>
      <c r="AD493" s="190">
        <f t="shared" si="297"/>
        <v>-21.974236677975121</v>
      </c>
      <c r="AE493" s="169">
        <f t="shared" si="298"/>
        <v>177.26552603895013</v>
      </c>
      <c r="AF493" s="98" t="str">
        <f t="shared" si="284"/>
        <v>-0,0000375877424711299</v>
      </c>
      <c r="AG493" s="98" t="str">
        <f t="shared" si="285"/>
        <v>0,00357922758383263i</v>
      </c>
      <c r="AH493" s="98">
        <f t="shared" si="299"/>
        <v>3.5792275838326302E-3</v>
      </c>
      <c r="AI493" s="98">
        <f t="shared" si="300"/>
        <v>1.5707963267948966</v>
      </c>
      <c r="AJ493" s="98" t="str">
        <f t="shared" si="286"/>
        <v>1+3,26472249548304i</v>
      </c>
      <c r="AK493" s="98">
        <f t="shared" si="301"/>
        <v>3.414441824444078</v>
      </c>
      <c r="AL493" s="98">
        <f t="shared" si="302"/>
        <v>1.2735654439745379</v>
      </c>
      <c r="AM493" s="98" t="str">
        <f t="shared" si="287"/>
        <v>1+254,397222148025i</v>
      </c>
      <c r="AN493" s="98">
        <f t="shared" si="303"/>
        <v>254.39918757069879</v>
      </c>
      <c r="AO493" s="98">
        <f t="shared" si="304"/>
        <v>1.5668654865087905</v>
      </c>
      <c r="AP493" s="168" t="str">
        <f t="shared" si="305"/>
        <v>-0,226214486534612+0,749029158218264i</v>
      </c>
      <c r="AQ493" s="98">
        <f t="shared" si="306"/>
        <v>-2.130941371463571</v>
      </c>
      <c r="AR493" s="169">
        <f t="shared" si="307"/>
        <v>106.80485456822019</v>
      </c>
      <c r="AS493" s="168" t="str">
        <f t="shared" si="308"/>
        <v>0,015154804861566-0,0604660860115266i</v>
      </c>
      <c r="AT493" s="190">
        <f t="shared" si="309"/>
        <v>-24.105178049438699</v>
      </c>
      <c r="AU493" s="169">
        <f t="shared" si="310"/>
        <v>-75.929619392829679</v>
      </c>
      <c r="AV493" s="225"/>
      <c r="AX493">
        <f t="shared" si="311"/>
        <v>0</v>
      </c>
      <c r="AY493">
        <f t="shared" si="312"/>
        <v>0</v>
      </c>
    </row>
    <row r="494" spans="14:51" x14ac:dyDescent="0.25">
      <c r="N494" s="170">
        <v>76</v>
      </c>
      <c r="O494" s="199">
        <f t="shared" si="313"/>
        <v>575439.93733715697</v>
      </c>
      <c r="P494" s="189" t="str">
        <f t="shared" si="279"/>
        <v>120,833333333333</v>
      </c>
      <c r="Q494" s="160" t="str">
        <f t="shared" si="280"/>
        <v>1+3223,90621883505i</v>
      </c>
      <c r="R494" s="160">
        <f t="shared" si="288"/>
        <v>3223.9063739264061</v>
      </c>
      <c r="S494" s="160">
        <f t="shared" si="289"/>
        <v>1.5704861440848392</v>
      </c>
      <c r="T494" s="160" t="str">
        <f t="shared" si="281"/>
        <v>1+0,21693574556647i</v>
      </c>
      <c r="U494" s="160">
        <f t="shared" si="290"/>
        <v>1.0232600440281445</v>
      </c>
      <c r="V494" s="160">
        <f t="shared" si="291"/>
        <v>0.21362564137668769</v>
      </c>
      <c r="W494" s="98" t="str">
        <f t="shared" si="282"/>
        <v>1-1,85696998204898i</v>
      </c>
      <c r="X494" s="160">
        <f t="shared" si="292"/>
        <v>2.1091082272446307</v>
      </c>
      <c r="Y494" s="160">
        <f t="shared" si="293"/>
        <v>-1.0768160978251879</v>
      </c>
      <c r="Z494" s="98" t="str">
        <f t="shared" si="283"/>
        <v>0,726337916130088+0,719273165574878i</v>
      </c>
      <c r="AA494" s="160">
        <f t="shared" si="294"/>
        <v>1.0222136054290729</v>
      </c>
      <c r="AB494" s="160">
        <f t="shared" si="295"/>
        <v>0.78051116826943279</v>
      </c>
      <c r="AC494" s="171" t="str">
        <f t="shared" si="296"/>
        <v>-0,078922744055271+0,00573949171261137i</v>
      </c>
      <c r="AD494" s="190">
        <f t="shared" si="297"/>
        <v>-22.033048793515825</v>
      </c>
      <c r="AE494" s="169">
        <f t="shared" si="298"/>
        <v>175.84060628503042</v>
      </c>
      <c r="AF494" s="98" t="str">
        <f t="shared" si="284"/>
        <v>-0,0000375877424711299</v>
      </c>
      <c r="AG494" s="98" t="str">
        <f t="shared" si="285"/>
        <v>0,0036625985043139i</v>
      </c>
      <c r="AH494" s="98">
        <f t="shared" si="299"/>
        <v>3.6625985043139001E-3</v>
      </c>
      <c r="AI494" s="98">
        <f t="shared" si="300"/>
        <v>1.5707963267948966</v>
      </c>
      <c r="AJ494" s="98" t="str">
        <f t="shared" si="286"/>
        <v>1+3,34076765136913i</v>
      </c>
      <c r="AK494" s="98">
        <f t="shared" si="301"/>
        <v>3.4872236091817239</v>
      </c>
      <c r="AL494" s="98">
        <f t="shared" si="302"/>
        <v>1.2799521215688912</v>
      </c>
      <c r="AM494" s="98" t="str">
        <f t="shared" si="287"/>
        <v>1+260,322894679764i</v>
      </c>
      <c r="AN494" s="98">
        <f t="shared" si="303"/>
        <v>260.32481536428963</v>
      </c>
      <c r="AO494" s="98">
        <f t="shared" si="304"/>
        <v>1.5669549624672143</v>
      </c>
      <c r="AP494" s="168" t="str">
        <f t="shared" si="305"/>
        <v>-0,216870387682061+0,734776164530462i</v>
      </c>
      <c r="AQ494" s="98">
        <f t="shared" si="306"/>
        <v>-2.314145965817807</v>
      </c>
      <c r="AR494" s="169">
        <f t="shared" si="307"/>
        <v>106.44405149173856</v>
      </c>
      <c r="AS494" s="168" t="str">
        <f t="shared" si="308"/>
        <v>0,0128987643932517-0,0592352769639634i</v>
      </c>
      <c r="AT494" s="190">
        <f t="shared" si="309"/>
        <v>-24.347194759333629</v>
      </c>
      <c r="AU494" s="169">
        <f t="shared" si="310"/>
        <v>-77.715342223231048</v>
      </c>
      <c r="AV494" s="225"/>
      <c r="AX494">
        <f t="shared" si="311"/>
        <v>0</v>
      </c>
      <c r="AY494">
        <f t="shared" si="312"/>
        <v>0</v>
      </c>
    </row>
    <row r="495" spans="14:51" x14ac:dyDescent="0.25">
      <c r="N495" s="170">
        <v>77</v>
      </c>
      <c r="O495" s="199">
        <f t="shared" si="313"/>
        <v>588843.65535558888</v>
      </c>
      <c r="P495" s="189" t="str">
        <f t="shared" si="279"/>
        <v>120,833333333333</v>
      </c>
      <c r="Q495" s="160" t="str">
        <f t="shared" si="280"/>
        <v>1+3299,00064150425i</v>
      </c>
      <c r="R495" s="160">
        <f t="shared" si="288"/>
        <v>3299.0007930652955</v>
      </c>
      <c r="S495" s="160">
        <f t="shared" si="289"/>
        <v>1.5704932047048941</v>
      </c>
      <c r="T495" s="160" t="str">
        <f t="shared" si="281"/>
        <v>1+0,221988828213369i</v>
      </c>
      <c r="U495" s="160">
        <f t="shared" si="290"/>
        <v>1.0243432236567704</v>
      </c>
      <c r="V495" s="160">
        <f t="shared" si="291"/>
        <v>0.21844652412312274</v>
      </c>
      <c r="W495" s="98" t="str">
        <f t="shared" si="282"/>
        <v>1-1,90022436950644i</v>
      </c>
      <c r="X495" s="160">
        <f t="shared" si="292"/>
        <v>2.1472896065659488</v>
      </c>
      <c r="Y495" s="160">
        <f t="shared" si="293"/>
        <v>-1.0863670634324907</v>
      </c>
      <c r="Z495" s="98" t="str">
        <f t="shared" si="283"/>
        <v>0,713440619460717+0,736027189868367i</v>
      </c>
      <c r="AA495" s="160">
        <f t="shared" si="294"/>
        <v>1.0250529458140281</v>
      </c>
      <c r="AB495" s="160">
        <f t="shared" si="295"/>
        <v>0.80097956670691006</v>
      </c>
      <c r="AC495" s="171" t="str">
        <f t="shared" si="296"/>
        <v>-0,0782192834048761+0,00767438133955142i</v>
      </c>
      <c r="AD495" s="190">
        <f t="shared" si="297"/>
        <v>-22.092116820268174</v>
      </c>
      <c r="AE495" s="169">
        <f t="shared" si="298"/>
        <v>174.39643511276591</v>
      </c>
      <c r="AF495" s="98" t="str">
        <f t="shared" si="284"/>
        <v>-0,0000375877424711299</v>
      </c>
      <c r="AG495" s="98" t="str">
        <f t="shared" si="285"/>
        <v>0,00374791138300239i</v>
      </c>
      <c r="AH495" s="98">
        <f t="shared" si="299"/>
        <v>3.7479113830023898E-3</v>
      </c>
      <c r="AI495" s="98">
        <f t="shared" si="300"/>
        <v>1.5707963267948966</v>
      </c>
      <c r="AJ495" s="98" t="str">
        <f t="shared" si="286"/>
        <v>1+3,41858412648426i</v>
      </c>
      <c r="AK495" s="98">
        <f t="shared" si="301"/>
        <v>3.5618418591860799</v>
      </c>
      <c r="AL495" s="98">
        <f t="shared" si="302"/>
        <v>1.286217105562439</v>
      </c>
      <c r="AM495" s="98" t="str">
        <f t="shared" si="287"/>
        <v>1+266,386593856043i</v>
      </c>
      <c r="AN495" s="98">
        <f t="shared" si="303"/>
        <v>266.38847082076285</v>
      </c>
      <c r="AO495" s="98">
        <f t="shared" si="304"/>
        <v>1.5670424017636007</v>
      </c>
      <c r="AP495" s="168" t="str">
        <f t="shared" si="305"/>
        <v>-0,207878982011555+0,720680771914974i</v>
      </c>
      <c r="AQ495" s="98">
        <f t="shared" si="306"/>
        <v>-2.4980455942565998</v>
      </c>
      <c r="AR495" s="169">
        <f t="shared" si="307"/>
        <v>106.0901042528378</v>
      </c>
      <c r="AS495" s="168" t="str">
        <f t="shared" si="308"/>
        <v>0,0107293659401212-0,0579664761232967i</v>
      </c>
      <c r="AT495" s="190">
        <f t="shared" si="309"/>
        <v>-24.590162414524769</v>
      </c>
      <c r="AU495" s="169">
        <f t="shared" si="310"/>
        <v>-79.513460634396239</v>
      </c>
      <c r="AV495" s="225"/>
      <c r="AX495">
        <f t="shared" si="311"/>
        <v>0</v>
      </c>
      <c r="AY495">
        <f t="shared" si="312"/>
        <v>0</v>
      </c>
    </row>
    <row r="496" spans="14:51" x14ac:dyDescent="0.25">
      <c r="N496" s="170">
        <v>78</v>
      </c>
      <c r="O496" s="199">
        <f t="shared" si="313"/>
        <v>602559.58607435878</v>
      </c>
      <c r="P496" s="189" t="str">
        <f t="shared" si="279"/>
        <v>120,833333333333</v>
      </c>
      <c r="Q496" s="160" t="str">
        <f t="shared" si="280"/>
        <v>1+3375,84423798101i</v>
      </c>
      <c r="R496" s="160">
        <f t="shared" si="288"/>
        <v>3375.8443860921057</v>
      </c>
      <c r="S496" s="160">
        <f t="shared" si="289"/>
        <v>1.5705001046056439</v>
      </c>
      <c r="T496" s="160" t="str">
        <f t="shared" si="281"/>
        <v>1+0,227159612275357i</v>
      </c>
      <c r="U496" s="160">
        <f t="shared" si="290"/>
        <v>1.0254762256869199</v>
      </c>
      <c r="V496" s="160">
        <f t="shared" si="291"/>
        <v>0.22336903926072954</v>
      </c>
      <c r="W496" s="98" t="str">
        <f t="shared" si="282"/>
        <v>1-1,94448628107706i</v>
      </c>
      <c r="X496" s="160">
        <f t="shared" si="292"/>
        <v>2.1865559442412845</v>
      </c>
      <c r="Y496" s="160">
        <f t="shared" si="293"/>
        <v>-1.0957943212323977</v>
      </c>
      <c r="Z496" s="98" t="str">
        <f t="shared" si="283"/>
        <v>0,699935491925536+0,753171465520396i</v>
      </c>
      <c r="AA496" s="160">
        <f t="shared" si="294"/>
        <v>1.0281911054522808</v>
      </c>
      <c r="AB496" s="160">
        <f t="shared" si="295"/>
        <v>0.82201774932641491</v>
      </c>
      <c r="AC496" s="171" t="str">
        <f t="shared" si="296"/>
        <v>-0,0774647818542446+0,00960407745755507i</v>
      </c>
      <c r="AD496" s="190">
        <f t="shared" si="297"/>
        <v>-22.151666314105661</v>
      </c>
      <c r="AE496" s="169">
        <f t="shared" si="298"/>
        <v>172.93253796250841</v>
      </c>
      <c r="AF496" s="98" t="str">
        <f t="shared" si="284"/>
        <v>-0,0000375877424711299</v>
      </c>
      <c r="AG496" s="98" t="str">
        <f t="shared" si="285"/>
        <v>0,00383521145391562i</v>
      </c>
      <c r="AH496" s="98">
        <f t="shared" si="299"/>
        <v>3.8352114539156202E-3</v>
      </c>
      <c r="AI496" s="98">
        <f t="shared" si="300"/>
        <v>1.5707963267948966</v>
      </c>
      <c r="AJ496" s="98" t="str">
        <f t="shared" si="286"/>
        <v>1+3,49821318015357i</v>
      </c>
      <c r="AK496" s="98">
        <f t="shared" si="301"/>
        <v>3.638336907681881</v>
      </c>
      <c r="AL496" s="98">
        <f t="shared" si="302"/>
        <v>1.2923617497826008</v>
      </c>
      <c r="AM496" s="98" t="str">
        <f t="shared" si="287"/>
        <v>1+272,591534730428i</v>
      </c>
      <c r="AN496" s="98">
        <f t="shared" si="303"/>
        <v>272.59336897050542</v>
      </c>
      <c r="AO496" s="98">
        <f t="shared" si="304"/>
        <v>1.5671278507540709</v>
      </c>
      <c r="AP496" s="168" t="str">
        <f t="shared" si="305"/>
        <v>-0,199229674041426+0,706748567848149i</v>
      </c>
      <c r="AQ496" s="98">
        <f t="shared" si="306"/>
        <v>-2.6826139186550231</v>
      </c>
      <c r="AR496" s="169">
        <f t="shared" si="307"/>
        <v>105.74293793893062</v>
      </c>
      <c r="AS496" s="168" t="str">
        <f t="shared" si="308"/>
        <v>0,00864561524988159-0,056661540855494i</v>
      </c>
      <c r="AT496" s="190">
        <f t="shared" si="309"/>
        <v>-24.834280232760676</v>
      </c>
      <c r="AU496" s="169">
        <f t="shared" si="310"/>
        <v>-81.324524098561</v>
      </c>
      <c r="AV496" s="225"/>
      <c r="AX496">
        <f t="shared" si="311"/>
        <v>0</v>
      </c>
      <c r="AY496">
        <f t="shared" si="312"/>
        <v>0</v>
      </c>
    </row>
    <row r="497" spans="14:51" x14ac:dyDescent="0.25">
      <c r="N497" s="170">
        <v>79</v>
      </c>
      <c r="O497" s="199">
        <f t="shared" si="313"/>
        <v>616595.00186148309</v>
      </c>
      <c r="P497" s="189" t="str">
        <f t="shared" si="279"/>
        <v>120,833333333333</v>
      </c>
      <c r="Q497" s="160" t="str">
        <f t="shared" si="280"/>
        <v>1+3454,47775175734i</v>
      </c>
      <c r="R497" s="160">
        <f t="shared" si="288"/>
        <v>3454.4778964970155</v>
      </c>
      <c r="S497" s="160">
        <f t="shared" si="289"/>
        <v>1.5705068474455048</v>
      </c>
      <c r="T497" s="160" t="str">
        <f t="shared" si="281"/>
        <v>1+0,232450839370586i</v>
      </c>
      <c r="U497" s="160">
        <f t="shared" si="290"/>
        <v>1.0266612843212166</v>
      </c>
      <c r="V497" s="160">
        <f t="shared" si="291"/>
        <v>0.22839484211385905</v>
      </c>
      <c r="W497" s="98" t="str">
        <f t="shared" si="282"/>
        <v>1-1,98977918501222i</v>
      </c>
      <c r="X497" s="160">
        <f t="shared" si="292"/>
        <v>2.226930893653392</v>
      </c>
      <c r="Y497" s="160">
        <f t="shared" si="293"/>
        <v>-1.1050961661670267</v>
      </c>
      <c r="Z497" s="98" t="str">
        <f t="shared" si="283"/>
        <v>0,685793887338378+0,770715082652847i</v>
      </c>
      <c r="AA497" s="160">
        <f t="shared" si="294"/>
        <v>1.0316564324130726</v>
      </c>
      <c r="AB497" s="160">
        <f t="shared" si="295"/>
        <v>0.84363684577007914</v>
      </c>
      <c r="AC497" s="171" t="str">
        <f t="shared" si="296"/>
        <v>-0,0766563040265052+0,0115268537091764i</v>
      </c>
      <c r="AD497" s="190">
        <f t="shared" si="297"/>
        <v>-22.211936544577693</v>
      </c>
      <c r="AE497" s="169">
        <f t="shared" si="298"/>
        <v>171.44846947884403</v>
      </c>
      <c r="AF497" s="98" t="str">
        <f t="shared" si="284"/>
        <v>-0,0000375877424711299</v>
      </c>
      <c r="AG497" s="98" t="str">
        <f t="shared" si="285"/>
        <v>0,00392454500470673i</v>
      </c>
      <c r="AH497" s="98">
        <f t="shared" si="299"/>
        <v>3.9245450047067296E-3</v>
      </c>
      <c r="AI497" s="98">
        <f t="shared" si="300"/>
        <v>1.5707963267948966</v>
      </c>
      <c r="AJ497" s="98" t="str">
        <f t="shared" si="286"/>
        <v>1+3,57969703275532i</v>
      </c>
      <c r="AK497" s="98">
        <f t="shared" si="301"/>
        <v>3.7167500381808356</v>
      </c>
      <c r="AL497" s="98">
        <f t="shared" si="302"/>
        <v>1.2983874554758552</v>
      </c>
      <c r="AM497" s="98" t="str">
        <f t="shared" si="287"/>
        <v>1+278,941007244703i</v>
      </c>
      <c r="AN497" s="98">
        <f t="shared" si="303"/>
        <v>278.94279973265026</v>
      </c>
      <c r="AO497" s="98">
        <f t="shared" si="304"/>
        <v>1.5672113547398168</v>
      </c>
      <c r="AP497" s="168" t="str">
        <f t="shared" si="305"/>
        <v>-0,190911961275684+0,692984586451836i</v>
      </c>
      <c r="AQ497" s="98">
        <f t="shared" si="306"/>
        <v>-2.8678254007327428</v>
      </c>
      <c r="AR497" s="169">
        <f t="shared" si="307"/>
        <v>105.40247486007496</v>
      </c>
      <c r="AS497" s="168" t="str">
        <f t="shared" si="308"/>
        <v>0,0066466733951008-0,0553222513936907i</v>
      </c>
      <c r="AT497" s="190">
        <f t="shared" si="309"/>
        <v>-25.07976194531043</v>
      </c>
      <c r="AU497" s="169">
        <f t="shared" si="310"/>
        <v>-83.149055661081007</v>
      </c>
      <c r="AV497" s="225"/>
      <c r="AX497">
        <f t="shared" si="311"/>
        <v>0</v>
      </c>
      <c r="AY497">
        <f t="shared" si="312"/>
        <v>0</v>
      </c>
    </row>
    <row r="498" spans="14:51" x14ac:dyDescent="0.25">
      <c r="N498" s="170">
        <v>80</v>
      </c>
      <c r="O498" s="199">
        <f t="shared" si="313"/>
        <v>630957.34448019415</v>
      </c>
      <c r="P498" s="189" t="str">
        <f t="shared" si="279"/>
        <v>120,833333333333</v>
      </c>
      <c r="Q498" s="160" t="str">
        <f t="shared" si="280"/>
        <v>1+3534,94287536305i</v>
      </c>
      <c r="R498" s="160">
        <f t="shared" si="288"/>
        <v>3534.943016808048</v>
      </c>
      <c r="S498" s="160">
        <f t="shared" si="289"/>
        <v>1.5705134367996172</v>
      </c>
      <c r="T498" s="160" t="str">
        <f t="shared" si="281"/>
        <v>1+0,2378653149777i</v>
      </c>
      <c r="U498" s="160">
        <f t="shared" si="290"/>
        <v>1.0279007287036237</v>
      </c>
      <c r="V498" s="160">
        <f t="shared" si="291"/>
        <v>0.23352558141288382</v>
      </c>
      <c r="W498" s="98" t="str">
        <f t="shared" si="282"/>
        <v>1-2,03612709620911i</v>
      </c>
      <c r="X498" s="160">
        <f t="shared" si="292"/>
        <v>2.2684385713342436</v>
      </c>
      <c r="Y498" s="160">
        <f t="shared" si="293"/>
        <v>-1.114271090598985</v>
      </c>
      <c r="Z498" s="98" t="str">
        <f t="shared" si="283"/>
        <v>0,670985809459919+0,78866734312374i</v>
      </c>
      <c r="AA498" s="160">
        <f t="shared" si="294"/>
        <v>1.0354796640236068</v>
      </c>
      <c r="AB498" s="160">
        <f t="shared" si="295"/>
        <v>0.86584710040533741</v>
      </c>
      <c r="AC498" s="171" t="str">
        <f t="shared" si="296"/>
        <v>-0,0757909103309865+0,0134406165931238i</v>
      </c>
      <c r="AD498" s="190">
        <f t="shared" si="297"/>
        <v>-22.273180763539635</v>
      </c>
      <c r="AE498" s="169">
        <f t="shared" si="298"/>
        <v>169.9438233444659</v>
      </c>
      <c r="AF498" s="98" t="str">
        <f t="shared" si="284"/>
        <v>-0,0000375877424711299</v>
      </c>
      <c r="AG498" s="98" t="str">
        <f t="shared" si="285"/>
        <v>0,00401595940120684i</v>
      </c>
      <c r="AH498" s="98">
        <f t="shared" si="299"/>
        <v>4.0159594012068398E-3</v>
      </c>
      <c r="AI498" s="98">
        <f t="shared" si="300"/>
        <v>1.5707963267948966</v>
      </c>
      <c r="AJ498" s="98" t="str">
        <f t="shared" si="286"/>
        <v>1+3,66307888810672i</v>
      </c>
      <c r="AK498" s="98">
        <f t="shared" si="301"/>
        <v>3.797123508722513</v>
      </c>
      <c r="AL498" s="98">
        <f t="shared" si="302"/>
        <v>1.3042956665585521</v>
      </c>
      <c r="AM498" s="98" t="str">
        <f t="shared" si="287"/>
        <v>1+285,43837797324i</v>
      </c>
      <c r="AN498" s="98">
        <f t="shared" si="303"/>
        <v>285.44012965943352</v>
      </c>
      <c r="AO498" s="98">
        <f t="shared" si="304"/>
        <v>1.5672929579910957</v>
      </c>
      <c r="AP498" s="168" t="str">
        <f t="shared" si="305"/>
        <v>-0,182915454757827+0,679393332877673i</v>
      </c>
      <c r="AQ498" s="98">
        <f t="shared" si="306"/>
        <v>-3.0536552942224131</v>
      </c>
      <c r="AR498" s="169">
        <f t="shared" si="307"/>
        <v>105.06863482245686</v>
      </c>
      <c r="AS498" s="168" t="str">
        <f t="shared" si="308"/>
        <v>0,00473186352656875-0,0539503356679586i</v>
      </c>
      <c r="AT498" s="190">
        <f t="shared" si="309"/>
        <v>-25.326836057762048</v>
      </c>
      <c r="AU498" s="169">
        <f t="shared" si="310"/>
        <v>-84.987541833077245</v>
      </c>
      <c r="AV498" s="225"/>
      <c r="AX498">
        <f t="shared" si="311"/>
        <v>0</v>
      </c>
      <c r="AY498">
        <f t="shared" si="312"/>
        <v>0</v>
      </c>
    </row>
    <row r="499" spans="14:51" x14ac:dyDescent="0.25">
      <c r="N499" s="170">
        <v>81</v>
      </c>
      <c r="O499" s="199">
        <f t="shared" si="313"/>
        <v>645654.22903465747</v>
      </c>
      <c r="P499" s="189" t="str">
        <f t="shared" si="279"/>
        <v>120,833333333333</v>
      </c>
      <c r="Q499" s="160" t="str">
        <f t="shared" si="280"/>
        <v>1+3617,2822724718i</v>
      </c>
      <c r="R499" s="160">
        <f t="shared" si="288"/>
        <v>3617.282410697117</v>
      </c>
      <c r="S499" s="160">
        <f t="shared" si="289"/>
        <v>1.5705198761617416</v>
      </c>
      <c r="T499" s="160" t="str">
        <f t="shared" si="281"/>
        <v>1+0,243405909923335i</v>
      </c>
      <c r="U499" s="160">
        <f t="shared" si="290"/>
        <v>1.0291969864829602</v>
      </c>
      <c r="V499" s="160">
        <f t="shared" si="291"/>
        <v>0.23876289655268051</v>
      </c>
      <c r="W499" s="98" t="str">
        <f t="shared" si="282"/>
        <v>1-2,08355458894375i</v>
      </c>
      <c r="X499" s="160">
        <f t="shared" si="292"/>
        <v>2.3111035729946332</v>
      </c>
      <c r="Y499" s="160">
        <f t="shared" si="293"/>
        <v>-1.1233177795415432</v>
      </c>
      <c r="Z499" s="98" t="str">
        <f t="shared" si="283"/>
        <v>0,655479848371621+0,807037765459205i</v>
      </c>
      <c r="AA499" s="160">
        <f t="shared" si="294"/>
        <v>1.0396940831315094</v>
      </c>
      <c r="AB499" s="160">
        <f t="shared" si="295"/>
        <v>0.88865768575073278</v>
      </c>
      <c r="AC499" s="171" t="str">
        <f t="shared" si="296"/>
        <v>-0,0748656927363324+0,0153428795305159i</v>
      </c>
      <c r="AD499" s="190">
        <f t="shared" si="297"/>
        <v>-22.33566635844927</v>
      </c>
      <c r="AE499" s="169">
        <f t="shared" si="298"/>
        <v>168.41824308619348</v>
      </c>
      <c r="AF499" s="98" t="str">
        <f t="shared" si="284"/>
        <v>-0,0000375877424711299</v>
      </c>
      <c r="AG499" s="98" t="str">
        <f t="shared" si="285"/>
        <v>0,00410950311253898i</v>
      </c>
      <c r="AH499" s="98">
        <f t="shared" si="299"/>
        <v>4.1095031125389803E-3</v>
      </c>
      <c r="AI499" s="98">
        <f t="shared" si="300"/>
        <v>1.5707963267948966</v>
      </c>
      <c r="AJ499" s="98" t="str">
        <f t="shared" si="286"/>
        <v>1+3,74840295637119i</v>
      </c>
      <c r="AK499" s="98">
        <f t="shared" si="301"/>
        <v>3.8795005765345976</v>
      </c>
      <c r="AL499" s="98">
        <f t="shared" si="302"/>
        <v>1.3100878650813026</v>
      </c>
      <c r="AM499" s="98" t="str">
        <f t="shared" si="287"/>
        <v>1+292,087091908002i</v>
      </c>
      <c r="AN499" s="98">
        <f t="shared" si="303"/>
        <v>292.08880372118614</v>
      </c>
      <c r="AO499" s="98">
        <f t="shared" si="304"/>
        <v>1.5673727037706822</v>
      </c>
      <c r="AP499" s="168" t="str">
        <f t="shared" si="305"/>
        <v>-0,175229897486363+0,665978807698106i</v>
      </c>
      <c r="AQ499" s="98">
        <f t="shared" si="306"/>
        <v>-3.2400796355591401</v>
      </c>
      <c r="AR499" s="169">
        <f t="shared" si="307"/>
        <v>104.74133538960561</v>
      </c>
      <c r="AS499" s="168" t="str">
        <f t="shared" si="308"/>
        <v>0,00290067504704442-0,0525474959933133i</v>
      </c>
      <c r="AT499" s="190">
        <f t="shared" si="309"/>
        <v>-25.575745994008415</v>
      </c>
      <c r="AU499" s="169">
        <f t="shared" si="310"/>
        <v>-86.84042152420092</v>
      </c>
      <c r="AV499" s="225"/>
      <c r="AX499">
        <f t="shared" si="311"/>
        <v>0</v>
      </c>
      <c r="AY499">
        <f t="shared" si="312"/>
        <v>0</v>
      </c>
    </row>
    <row r="500" spans="14:51" x14ac:dyDescent="0.25">
      <c r="N500" s="170">
        <v>82</v>
      </c>
      <c r="O500" s="199">
        <f t="shared" si="313"/>
        <v>660693.44800759677</v>
      </c>
      <c r="P500" s="189" t="str">
        <f t="shared" si="279"/>
        <v>120,833333333333</v>
      </c>
      <c r="Q500" s="160" t="str">
        <f t="shared" si="280"/>
        <v>1+3701,53960052179i</v>
      </c>
      <c r="R500" s="160">
        <f t="shared" si="288"/>
        <v>3701.5397356007152</v>
      </c>
      <c r="S500" s="160">
        <f t="shared" si="289"/>
        <v>1.570526168946111</v>
      </c>
      <c r="T500" s="160" t="str">
        <f t="shared" si="281"/>
        <v>1+0,249075561904269i</v>
      </c>
      <c r="U500" s="160">
        <f t="shared" si="290"/>
        <v>1.0305525874684549</v>
      </c>
      <c r="V500" s="160">
        <f t="shared" si="291"/>
        <v>0.24410841467032907</v>
      </c>
      <c r="W500" s="98" t="str">
        <f t="shared" si="282"/>
        <v>1-2,13208680990054i</v>
      </c>
      <c r="X500" s="160">
        <f t="shared" si="292"/>
        <v>2.3549509899256638</v>
      </c>
      <c r="Y500" s="160">
        <f t="shared" si="293"/>
        <v>-1.1322351054560389</v>
      </c>
      <c r="Z500" s="98" t="str">
        <f t="shared" si="283"/>
        <v>0,639243113851102+0,825836089900323i</v>
      </c>
      <c r="AA500" s="160">
        <f t="shared" si="294"/>
        <v>1.0443356768720999</v>
      </c>
      <c r="AB500" s="160">
        <f t="shared" si="295"/>
        <v>0.91207649954007486</v>
      </c>
      <c r="AC500" s="171" t="str">
        <f t="shared" si="296"/>
        <v>-0,0738778168559247+0,0172307391964462i</v>
      </c>
      <c r="AD500" s="190">
        <f t="shared" si="297"/>
        <v>-22.399674862382462</v>
      </c>
      <c r="AE500" s="169">
        <f t="shared" si="298"/>
        <v>166.87143383288415</v>
      </c>
      <c r="AF500" s="98" t="str">
        <f t="shared" si="284"/>
        <v>-0,0000375877424711299</v>
      </c>
      <c r="AG500" s="98" t="str">
        <f t="shared" si="285"/>
        <v>0,00420522573681708i</v>
      </c>
      <c r="AH500" s="98">
        <f t="shared" si="299"/>
        <v>4.2052257368170804E-3</v>
      </c>
      <c r="AI500" s="98">
        <f t="shared" si="300"/>
        <v>1.5707963267948966</v>
      </c>
      <c r="AJ500" s="98" t="str">
        <f t="shared" si="286"/>
        <v>1+3,8357144774991i</v>
      </c>
      <c r="AK500" s="98">
        <f t="shared" si="301"/>
        <v>3.9639255231268149</v>
      </c>
      <c r="AL500" s="98">
        <f t="shared" si="302"/>
        <v>1.3157655669064166</v>
      </c>
      <c r="AM500" s="98" t="str">
        <f t="shared" si="287"/>
        <v>1+298,890674285123i</v>
      </c>
      <c r="AN500" s="98">
        <f t="shared" si="303"/>
        <v>298.89234713290244</v>
      </c>
      <c r="AO500" s="98">
        <f t="shared" si="304"/>
        <v>1.5674506343567847</v>
      </c>
      <c r="AP500" s="168" t="str">
        <f t="shared" si="305"/>
        <v>-0,167845180800156+0,652744531176572i</v>
      </c>
      <c r="AQ500" s="98">
        <f t="shared" si="306"/>
        <v>-3.4270752332515073</v>
      </c>
      <c r="AR500" s="169">
        <f t="shared" si="307"/>
        <v>104.42049213137149</v>
      </c>
      <c r="AS500" s="168" t="str">
        <f t="shared" si="308"/>
        <v>0,00115276474869343-0,0511154374637171i</v>
      </c>
      <c r="AT500" s="190">
        <f t="shared" si="309"/>
        <v>-25.826750095633962</v>
      </c>
      <c r="AU500" s="169">
        <f t="shared" si="310"/>
        <v>-88.70807403574436</v>
      </c>
      <c r="AV500" s="225"/>
      <c r="AX500">
        <f t="shared" si="311"/>
        <v>0</v>
      </c>
      <c r="AY500">
        <f t="shared" si="312"/>
        <v>0</v>
      </c>
    </row>
    <row r="501" spans="14:51" x14ac:dyDescent="0.25">
      <c r="N501" s="170">
        <v>83</v>
      </c>
      <c r="O501" s="199">
        <f t="shared" si="313"/>
        <v>676082.97539198259</v>
      </c>
      <c r="P501" s="189" t="str">
        <f t="shared" si="279"/>
        <v>120,833333333333</v>
      </c>
      <c r="Q501" s="160" t="str">
        <f t="shared" si="280"/>
        <v>1+3787,75953386365i</v>
      </c>
      <c r="R501" s="160">
        <f t="shared" si="288"/>
        <v>3787.759665867804</v>
      </c>
      <c r="S501" s="160">
        <f t="shared" si="289"/>
        <v>1.570532318489241</v>
      </c>
      <c r="T501" s="160" t="str">
        <f t="shared" si="281"/>
        <v>1+0,254877277045029i</v>
      </c>
      <c r="U501" s="160">
        <f t="shared" si="290"/>
        <v>1.0319701673759221</v>
      </c>
      <c r="V501" s="160">
        <f t="shared" si="291"/>
        <v>0.24956374753619695</v>
      </c>
      <c r="W501" s="98" t="str">
        <f t="shared" si="282"/>
        <v>1-2,18174949150545i</v>
      </c>
      <c r="X501" s="160">
        <f t="shared" si="292"/>
        <v>2.4000064257589582</v>
      </c>
      <c r="Y501" s="160">
        <f t="shared" si="293"/>
        <v>-1.1410221226708173</v>
      </c>
      <c r="Z501" s="98" t="str">
        <f t="shared" si="283"/>
        <v>0,62224116560754+0,845072283567539i</v>
      </c>
      <c r="AA501" s="160">
        <f t="shared" si="294"/>
        <v>1.0494432965294911</v>
      </c>
      <c r="AB501" s="160">
        <f t="shared" si="295"/>
        <v>0.93610994622796184</v>
      </c>
      <c r="AC501" s="171" t="str">
        <f t="shared" si="296"/>
        <v>-0,0728245706150476+0,019100855287418i</v>
      </c>
      <c r="AD501" s="190">
        <f t="shared" si="297"/>
        <v>-22.465501790410865</v>
      </c>
      <c r="AE501" s="169">
        <f t="shared" si="298"/>
        <v>165.30317497578608</v>
      </c>
      <c r="AF501" s="98" t="str">
        <f t="shared" si="284"/>
        <v>-0,0000375877424711299</v>
      </c>
      <c r="AG501" s="98" t="str">
        <f t="shared" si="285"/>
        <v>0,00430317802744359i</v>
      </c>
      <c r="AH501" s="98">
        <f t="shared" si="299"/>
        <v>4.3031780274435903E-3</v>
      </c>
      <c r="AI501" s="98">
        <f t="shared" si="300"/>
        <v>1.5707963267948966</v>
      </c>
      <c r="AJ501" s="98" t="str">
        <f t="shared" si="286"/>
        <v>1+3,92505974521466i</v>
      </c>
      <c r="AK501" s="98">
        <f t="shared" si="301"/>
        <v>4.0504436798336769</v>
      </c>
      <c r="AL501" s="98">
        <f t="shared" si="302"/>
        <v>1.3213303175968352</v>
      </c>
      <c r="AM501" s="98" t="str">
        <f t="shared" si="287"/>
        <v>1+305,852732454035i</v>
      </c>
      <c r="AN501" s="98">
        <f t="shared" si="303"/>
        <v>305.85436722335595</v>
      </c>
      <c r="AO501" s="98">
        <f t="shared" si="304"/>
        <v>1.5675267910654429</v>
      </c>
      <c r="AP501" s="168" t="str">
        <f t="shared" si="305"/>
        <v>-0,160751358843982+0,639693567304206i</v>
      </c>
      <c r="AQ501" s="98">
        <f t="shared" si="306"/>
        <v>-3.6146196560824757</v>
      </c>
      <c r="AR501" s="169">
        <f t="shared" si="307"/>
        <v>104.10601886075571</v>
      </c>
      <c r="AS501" s="168" t="str">
        <f t="shared" si="308"/>
        <v>-0,000512045573771401-0,0496558978066716i</v>
      </c>
      <c r="AT501" s="190">
        <f t="shared" si="309"/>
        <v>-26.080121446493333</v>
      </c>
      <c r="AU501" s="169">
        <f t="shared" si="310"/>
        <v>-90.590806163458197</v>
      </c>
      <c r="AV501" s="225"/>
      <c r="AX501">
        <f t="shared" si="311"/>
        <v>0</v>
      </c>
      <c r="AY501">
        <f t="shared" si="312"/>
        <v>0</v>
      </c>
    </row>
    <row r="502" spans="14:51" x14ac:dyDescent="0.25">
      <c r="N502" s="170">
        <v>84</v>
      </c>
      <c r="O502" s="199">
        <f t="shared" si="313"/>
        <v>691830.97091893724</v>
      </c>
      <c r="P502" s="189" t="str">
        <f t="shared" si="279"/>
        <v>120,833333333333</v>
      </c>
      <c r="Q502" s="160" t="str">
        <f t="shared" si="280"/>
        <v>1+3875,98778744728i</v>
      </c>
      <c r="R502" s="160">
        <f t="shared" si="288"/>
        <v>3875.9879164466524</v>
      </c>
      <c r="S502" s="160">
        <f t="shared" si="289"/>
        <v>1.5705383280516987</v>
      </c>
      <c r="T502" s="160" t="str">
        <f t="shared" si="281"/>
        <v>1+0,260814131491779i</v>
      </c>
      <c r="U502" s="160">
        <f t="shared" si="290"/>
        <v>1.0334524716627325</v>
      </c>
      <c r="V502" s="160">
        <f t="shared" si="291"/>
        <v>0.25513048825291024</v>
      </c>
      <c r="W502" s="98" t="str">
        <f t="shared" si="282"/>
        <v>1-2,23256896556963i</v>
      </c>
      <c r="X502" s="160">
        <f t="shared" si="292"/>
        <v>2.4462960135733058</v>
      </c>
      <c r="Y502" s="160">
        <f t="shared" si="293"/>
        <v>-1.1496780614746429</v>
      </c>
      <c r="Z502" s="98" t="str">
        <f t="shared" si="283"/>
        <v>0,604437940229223+0,864756545745356i</v>
      </c>
      <c r="AA502" s="160">
        <f t="shared" si="294"/>
        <v>1.0550588168429218</v>
      </c>
      <c r="AB502" s="160">
        <f t="shared" si="295"/>
        <v>0.96076270435364519</v>
      </c>
      <c r="AC502" s="171" t="str">
        <f t="shared" si="296"/>
        <v>-0,0717034195913976+0,0209494350695503i</v>
      </c>
      <c r="AD502" s="190">
        <f t="shared" si="297"/>
        <v>-22.533456270086731</v>
      </c>
      <c r="AE502" s="169">
        <f t="shared" si="298"/>
        <v>163.71333364679049</v>
      </c>
      <c r="AF502" s="98" t="str">
        <f t="shared" si="284"/>
        <v>-0,0000375877424711299</v>
      </c>
      <c r="AG502" s="98" t="str">
        <f t="shared" si="285"/>
        <v>0,00440341192001954i</v>
      </c>
      <c r="AH502" s="98">
        <f t="shared" si="299"/>
        <v>4.40341192001954E-3</v>
      </c>
      <c r="AI502" s="98">
        <f t="shared" si="300"/>
        <v>1.5707963267948966</v>
      </c>
      <c r="AJ502" s="98" t="str">
        <f t="shared" si="286"/>
        <v>1+4,01648613156144i</v>
      </c>
      <c r="AK502" s="98">
        <f t="shared" si="301"/>
        <v>4.139101453821274</v>
      </c>
      <c r="AL502" s="98">
        <f t="shared" si="302"/>
        <v>1.3267836885140514</v>
      </c>
      <c r="AM502" s="98" t="str">
        <f t="shared" si="287"/>
        <v>1+312,976957790135i</v>
      </c>
      <c r="AN502" s="98">
        <f t="shared" si="303"/>
        <v>312.97855534775528</v>
      </c>
      <c r="AO502" s="98">
        <f t="shared" si="304"/>
        <v>1.5676012142724165</v>
      </c>
      <c r="AP502" s="168" t="str">
        <f t="shared" si="305"/>
        <v>-0,153938661225637+0,62682854750406i</v>
      </c>
      <c r="AQ502" s="98">
        <f t="shared" si="306"/>
        <v>-3.8026912202823748</v>
      </c>
      <c r="AR502" s="169">
        <f t="shared" si="307"/>
        <v>103.79782785873731</v>
      </c>
      <c r="AS502" s="168" t="str">
        <f t="shared" si="308"/>
        <v>-0,00209377553847697-0,0481706783415899i</v>
      </c>
      <c r="AT502" s="190">
        <f t="shared" si="309"/>
        <v>-26.336147490369104</v>
      </c>
      <c r="AU502" s="169">
        <f t="shared" si="310"/>
        <v>-92.488838494472176</v>
      </c>
      <c r="AV502" s="225"/>
      <c r="AX502">
        <f t="shared" si="311"/>
        <v>0</v>
      </c>
      <c r="AY502">
        <f t="shared" si="312"/>
        <v>0</v>
      </c>
    </row>
    <row r="503" spans="14:51" x14ac:dyDescent="0.25">
      <c r="N503" s="170">
        <v>85</v>
      </c>
      <c r="O503" s="199">
        <f t="shared" si="313"/>
        <v>707945.78438413853</v>
      </c>
      <c r="P503" s="189" t="str">
        <f t="shared" si="279"/>
        <v>120,833333333333</v>
      </c>
      <c r="Q503" s="160" t="str">
        <f t="shared" si="280"/>
        <v>1+3966,2711410606i</v>
      </c>
      <c r="R503" s="160">
        <f t="shared" si="288"/>
        <v>3966.2712671235881</v>
      </c>
      <c r="S503" s="160">
        <f t="shared" si="289"/>
        <v>1.570544200819832</v>
      </c>
      <c r="T503" s="160" t="str">
        <f t="shared" si="281"/>
        <v>1+0,266889273043328i</v>
      </c>
      <c r="U503" s="160">
        <f t="shared" si="290"/>
        <v>1.0350023594492894</v>
      </c>
      <c r="V503" s="160">
        <f t="shared" si="291"/>
        <v>0.26081020775712366</v>
      </c>
      <c r="W503" s="98" t="str">
        <f t="shared" si="282"/>
        <v>1-2,28457217725089i</v>
      </c>
      <c r="X503" s="160">
        <f t="shared" si="292"/>
        <v>2.4938464333372394</v>
      </c>
      <c r="Y503" s="160">
        <f t="shared" si="293"/>
        <v>-1.1582023219359252</v>
      </c>
      <c r="Z503" s="98" t="str">
        <f t="shared" si="283"/>
        <v>0,585795674688202+0,884899313290136i</v>
      </c>
      <c r="AA503" s="160">
        <f t="shared" si="294"/>
        <v>1.061227292875923</v>
      </c>
      <c r="AB503" s="160">
        <f t="shared" si="295"/>
        <v>0.98603748189856655</v>
      </c>
      <c r="AC503" s="171" t="str">
        <f t="shared" si="296"/>
        <v>-0,0705120688859285+0,0227722242111606i</v>
      </c>
      <c r="AD503" s="190">
        <f t="shared" si="297"/>
        <v>-22.603860432645426</v>
      </c>
      <c r="AE503" s="169">
        <f t="shared" si="298"/>
        <v>162.10187888901427</v>
      </c>
      <c r="AF503" s="98" t="str">
        <f t="shared" si="284"/>
        <v>-0,0000375877424711299</v>
      </c>
      <c r="AG503" s="98" t="str">
        <f t="shared" si="285"/>
        <v>0,00450598055988153i</v>
      </c>
      <c r="AH503" s="98">
        <f t="shared" si="299"/>
        <v>4.5059805598815297E-3</v>
      </c>
      <c r="AI503" s="98">
        <f t="shared" si="300"/>
        <v>1.5707963267948966</v>
      </c>
      <c r="AJ503" s="98" t="str">
        <f t="shared" si="286"/>
        <v>1+4,11004211201967i</v>
      </c>
      <c r="AK503" s="98">
        <f t="shared" si="301"/>
        <v>4.229946354574146</v>
      </c>
      <c r="AL503" s="98">
        <f t="shared" si="302"/>
        <v>1.3321272731217255</v>
      </c>
      <c r="AM503" s="98" t="str">
        <f t="shared" si="287"/>
        <v>1+320,267127651995i</v>
      </c>
      <c r="AN503" s="98">
        <f t="shared" si="303"/>
        <v>320.26868884494354</v>
      </c>
      <c r="AO503" s="98">
        <f t="shared" si="304"/>
        <v>1.567673943434575</v>
      </c>
      <c r="AP503" s="168" t="str">
        <f t="shared" si="305"/>
        <v>-0,14739750397583+0,6141516939169i</v>
      </c>
      <c r="AQ503" s="98">
        <f t="shared" si="306"/>
        <v>-3.9912689758067428</v>
      </c>
      <c r="AR503" s="169">
        <f t="shared" si="307"/>
        <v>103.4958300872857</v>
      </c>
      <c r="AS503" s="168" t="str">
        <f t="shared" si="308"/>
        <v>-0,00359229711958208-0,0466616755565812i</v>
      </c>
      <c r="AT503" s="190">
        <f t="shared" si="309"/>
        <v>-26.595129408452163</v>
      </c>
      <c r="AU503" s="169">
        <f t="shared" si="310"/>
        <v>-94.402291023700016</v>
      </c>
      <c r="AV503" s="225"/>
      <c r="AX503">
        <f t="shared" si="311"/>
        <v>0</v>
      </c>
      <c r="AY503">
        <f t="shared" si="312"/>
        <v>0</v>
      </c>
    </row>
    <row r="504" spans="14:51" x14ac:dyDescent="0.25">
      <c r="N504" s="170">
        <v>86</v>
      </c>
      <c r="O504" s="199">
        <f t="shared" si="313"/>
        <v>724435.96007499192</v>
      </c>
      <c r="P504" s="189" t="str">
        <f t="shared" si="279"/>
        <v>120,833333333333</v>
      </c>
      <c r="Q504" s="160" t="str">
        <f t="shared" si="280"/>
        <v>1+4058,65746413271i</v>
      </c>
      <c r="R504" s="160">
        <f t="shared" si="288"/>
        <v>4058.6575873261545</v>
      </c>
      <c r="S504" s="160">
        <f t="shared" si="289"/>
        <v>1.5705499399074587</v>
      </c>
      <c r="T504" s="160" t="str">
        <f t="shared" si="281"/>
        <v>1+0,273105922820143i</v>
      </c>
      <c r="U504" s="160">
        <f t="shared" si="290"/>
        <v>1.0366228075242421</v>
      </c>
      <c r="V504" s="160">
        <f t="shared" si="291"/>
        <v>0.26660445111952868</v>
      </c>
      <c r="W504" s="98" t="str">
        <f t="shared" si="282"/>
        <v>1-2,33778669934043i</v>
      </c>
      <c r="X504" s="160">
        <f t="shared" si="292"/>
        <v>2.5426849296782765</v>
      </c>
      <c r="Y504" s="160">
        <f t="shared" si="293"/>
        <v>-1.1665944674970414</v>
      </c>
      <c r="Z504" s="98" t="str">
        <f t="shared" si="283"/>
        <v>0,566274826239853+0,905511266163849i</v>
      </c>
      <c r="AA504" s="160">
        <f t="shared" si="294"/>
        <v>1.067997112347516</v>
      </c>
      <c r="AB504" s="160">
        <f t="shared" si="295"/>
        <v>1.0119347625890796</v>
      </c>
      <c r="AC504" s="171" t="str">
        <f t="shared" si="296"/>
        <v>-0,0692485310860106+0,0245645055311862i</v>
      </c>
      <c r="AD504" s="190">
        <f t="shared" si="297"/>
        <v>-22.677048531438082</v>
      </c>
      <c r="AE504" s="169">
        <f t="shared" si="298"/>
        <v>160.46889634750897</v>
      </c>
      <c r="AF504" s="98" t="str">
        <f t="shared" si="284"/>
        <v>-0,0000375877424711299</v>
      </c>
      <c r="AG504" s="98" t="str">
        <f t="shared" si="285"/>
        <v>0,00461093833028009i</v>
      </c>
      <c r="AH504" s="98">
        <f t="shared" si="299"/>
        <v>4.6109383302800899E-3</v>
      </c>
      <c r="AI504" s="98">
        <f t="shared" si="300"/>
        <v>1.5707963267948966</v>
      </c>
      <c r="AJ504" s="98" t="str">
        <f t="shared" si="286"/>
        <v>1+4,20577729120852i</v>
      </c>
      <c r="AK504" s="98">
        <f t="shared" si="301"/>
        <v>4.3230270208784587</v>
      </c>
      <c r="AL504" s="98">
        <f t="shared" si="302"/>
        <v>1.3373626834909986</v>
      </c>
      <c r="AM504" s="98" t="str">
        <f t="shared" si="287"/>
        <v>1+327,727107384172i</v>
      </c>
      <c r="AN504" s="98">
        <f t="shared" si="303"/>
        <v>327.72863304019774</v>
      </c>
      <c r="AO504" s="98">
        <f t="shared" si="304"/>
        <v>1.5677450171108036</v>
      </c>
      <c r="AP504" s="168" t="str">
        <f t="shared" si="305"/>
        <v>-0,141118498921108+0,601664842194786i</v>
      </c>
      <c r="AQ504" s="98">
        <f t="shared" si="306"/>
        <v>-4.1803326918429446</v>
      </c>
      <c r="AR504" s="169">
        <f t="shared" si="307"/>
        <v>103.19993539078978</v>
      </c>
      <c r="AS504" s="168" t="str">
        <f t="shared" si="308"/>
        <v>-0,00500735058466459-0,0451309126753856i</v>
      </c>
      <c r="AT504" s="190">
        <f t="shared" si="309"/>
        <v>-26.857381223281017</v>
      </c>
      <c r="AU504" s="169">
        <f t="shared" si="310"/>
        <v>-96.331168261701237</v>
      </c>
      <c r="AV504" s="225"/>
      <c r="AX504">
        <f t="shared" si="311"/>
        <v>0</v>
      </c>
      <c r="AY504">
        <f t="shared" si="312"/>
        <v>0</v>
      </c>
    </row>
    <row r="505" spans="14:51" x14ac:dyDescent="0.25">
      <c r="N505" s="170">
        <v>87</v>
      </c>
      <c r="O505" s="199">
        <f t="shared" si="313"/>
        <v>741310.24130091805</v>
      </c>
      <c r="P505" s="189" t="str">
        <f t="shared" si="279"/>
        <v>120,833333333333</v>
      </c>
      <c r="Q505" s="160" t="str">
        <f t="shared" si="280"/>
        <v>1+4153,19574111496i</v>
      </c>
      <c r="R505" s="160">
        <f t="shared" si="288"/>
        <v>4153.1958615041794</v>
      </c>
      <c r="S505" s="160">
        <f t="shared" si="289"/>
        <v>1.5705555483575175</v>
      </c>
      <c r="T505" s="160" t="str">
        <f t="shared" si="281"/>
        <v>1+0,27946737697222i</v>
      </c>
      <c r="U505" s="160">
        <f t="shared" si="290"/>
        <v>1.038316914430143</v>
      </c>
      <c r="V505" s="160">
        <f t="shared" si="291"/>
        <v>0.27251473363908474</v>
      </c>
      <c r="W505" s="98" t="str">
        <f t="shared" si="282"/>
        <v>1-2,39224074688221i</v>
      </c>
      <c r="X505" s="160">
        <f t="shared" si="292"/>
        <v>2.5928393299708246</v>
      </c>
      <c r="Y505" s="160">
        <f t="shared" si="293"/>
        <v>-1.174854218390722</v>
      </c>
      <c r="Z505" s="98" t="str">
        <f t="shared" si="283"/>
        <v>0,545833988547417+0,926603333096737i</v>
      </c>
      <c r="AA505" s="160">
        <f t="shared" si="294"/>
        <v>1.0754201411353446</v>
      </c>
      <c r="AB505" s="160">
        <f t="shared" si="295"/>
        <v>1.0384525469963604</v>
      </c>
      <c r="AC505" s="171" t="str">
        <f t="shared" si="296"/>
        <v>-0,0679111995273231+0,0263211073735943i</v>
      </c>
      <c r="AD505" s="190">
        <f t="shared" si="297"/>
        <v>-22.75336575534519</v>
      </c>
      <c r="AE505" s="169">
        <f t="shared" si="298"/>
        <v>158.81460325647919</v>
      </c>
      <c r="AF505" s="98" t="str">
        <f t="shared" si="284"/>
        <v>-0,0000375877424711299</v>
      </c>
      <c r="AG505" s="98" t="str">
        <f t="shared" si="285"/>
        <v>0,00471834088121433i</v>
      </c>
      <c r="AH505" s="98">
        <f t="shared" si="299"/>
        <v>4.7183408812143304E-3</v>
      </c>
      <c r="AI505" s="98">
        <f t="shared" si="300"/>
        <v>1.5707963267948966</v>
      </c>
      <c r="AJ505" s="98" t="str">
        <f t="shared" si="286"/>
        <v>1+4,3037424291872i</v>
      </c>
      <c r="AK505" s="98">
        <f t="shared" si="301"/>
        <v>4.4183932483184591</v>
      </c>
      <c r="AL505" s="98">
        <f t="shared" si="302"/>
        <v>1.342491547002918</v>
      </c>
      <c r="AM505" s="98" t="str">
        <f t="shared" si="287"/>
        <v>1+335,360852366665i</v>
      </c>
      <c r="AN505" s="98">
        <f t="shared" si="303"/>
        <v>335.3623432946759</v>
      </c>
      <c r="AO505" s="98">
        <f t="shared" si="304"/>
        <v>1.5678144729824322</v>
      </c>
      <c r="AP505" s="168" t="str">
        <f t="shared" si="305"/>
        <v>-0,135092461578171+0,58936946373981i</v>
      </c>
      <c r="AQ505" s="98">
        <f t="shared" si="306"/>
        <v>-4.369862841662683</v>
      </c>
      <c r="AR505" s="169">
        <f t="shared" si="307"/>
        <v>102.91005268616485</v>
      </c>
      <c r="AS505" s="168" t="str">
        <f t="shared" si="308"/>
        <v>-0,00633856582494083-0,0435805704339079i</v>
      </c>
      <c r="AT505" s="190">
        <f t="shared" si="309"/>
        <v>-27.123228597007866</v>
      </c>
      <c r="AU505" s="169">
        <f t="shared" si="310"/>
        <v>-98.275344057355937</v>
      </c>
      <c r="AV505" s="225"/>
      <c r="AX505">
        <f t="shared" si="311"/>
        <v>0</v>
      </c>
      <c r="AY505">
        <f t="shared" si="312"/>
        <v>0</v>
      </c>
    </row>
    <row r="506" spans="14:51" x14ac:dyDescent="0.25">
      <c r="N506" s="170">
        <v>88</v>
      </c>
      <c r="O506" s="199">
        <f t="shared" si="313"/>
        <v>758577.57502918423</v>
      </c>
      <c r="P506" s="189" t="str">
        <f t="shared" si="279"/>
        <v>120,833333333333</v>
      </c>
      <c r="Q506" s="160" t="str">
        <f t="shared" si="280"/>
        <v>1+4249,93609745321i</v>
      </c>
      <c r="R506" s="160">
        <f t="shared" si="288"/>
        <v>4249.9362151020359</v>
      </c>
      <c r="S506" s="160">
        <f t="shared" si="289"/>
        <v>1.5705610291436816</v>
      </c>
      <c r="T506" s="160" t="str">
        <f t="shared" si="281"/>
        <v>1+0,285977008426757i</v>
      </c>
      <c r="U506" s="160">
        <f t="shared" si="290"/>
        <v>1.0400879046257183</v>
      </c>
      <c r="V506" s="160">
        <f t="shared" si="291"/>
        <v>0.27854253672822532</v>
      </c>
      <c r="W506" s="98" t="str">
        <f t="shared" si="282"/>
        <v>1-2,44796319213304i</v>
      </c>
      <c r="X506" s="160">
        <f t="shared" si="292"/>
        <v>2.6443380627367188</v>
      </c>
      <c r="Y506" s="160">
        <f t="shared" si="293"/>
        <v>-1.1829814449230338</v>
      </c>
      <c r="Z506" s="98" t="str">
        <f t="shared" si="283"/>
        <v>0,524429803853587+0,94818669738188i</v>
      </c>
      <c r="AA506" s="160">
        <f t="shared" si="294"/>
        <v>1.0835518595165941</v>
      </c>
      <c r="AB506" s="160">
        <f t="shared" si="295"/>
        <v>1.0655860932457413</v>
      </c>
      <c r="AC506" s="171" t="str">
        <f t="shared" si="296"/>
        <v>-0,0664989256495835+0,0280364233267901i</v>
      </c>
      <c r="AD506" s="190">
        <f t="shared" si="297"/>
        <v>-22.833166707798227</v>
      </c>
      <c r="AE506" s="169">
        <f t="shared" si="298"/>
        <v>157.13936344454663</v>
      </c>
      <c r="AF506" s="98" t="str">
        <f t="shared" si="284"/>
        <v>-0,0000375877424711299</v>
      </c>
      <c r="AG506" s="98" t="str">
        <f t="shared" si="285"/>
        <v>0,00482824515893842i</v>
      </c>
      <c r="AH506" s="98">
        <f t="shared" si="299"/>
        <v>4.8282451589384198E-3</v>
      </c>
      <c r="AI506" s="98">
        <f t="shared" si="300"/>
        <v>1.5707963267948966</v>
      </c>
      <c r="AJ506" s="98" t="str">
        <f t="shared" si="286"/>
        <v>1+4,40398946836861i</v>
      </c>
      <c r="AK506" s="98">
        <f t="shared" si="301"/>
        <v>4.5160960173031786</v>
      </c>
      <c r="AL506" s="98">
        <f t="shared" si="302"/>
        <v>1.3475155032428812</v>
      </c>
      <c r="AM506" s="98" t="str">
        <f t="shared" si="287"/>
        <v>1+343,172410112109i</v>
      </c>
      <c r="AN506" s="98">
        <f t="shared" si="303"/>
        <v>343.17386710260087</v>
      </c>
      <c r="AO506" s="98">
        <f t="shared" si="304"/>
        <v>1.5678823478732014</v>
      </c>
      <c r="AP506" s="168" t="str">
        <f t="shared" si="305"/>
        <v>-0,129310417675543+0,577266687335814i</v>
      </c>
      <c r="AQ506" s="98">
        <f t="shared" si="306"/>
        <v>-4.5598405869282796</v>
      </c>
      <c r="AR506" s="169">
        <f t="shared" si="307"/>
        <v>102.62609014193258</v>
      </c>
      <c r="AS506" s="168" t="str">
        <f t="shared" si="308"/>
        <v>-0,00758548936787814-0,0420130161316412i</v>
      </c>
      <c r="AT506" s="190">
        <f t="shared" si="309"/>
        <v>-27.393007294726512</v>
      </c>
      <c r="AU506" s="169">
        <f t="shared" si="310"/>
        <v>-100.23454641352077</v>
      </c>
      <c r="AV506" s="225"/>
      <c r="AX506">
        <f t="shared" si="311"/>
        <v>0</v>
      </c>
      <c r="AY506">
        <f t="shared" si="312"/>
        <v>0</v>
      </c>
    </row>
    <row r="507" spans="14:51" x14ac:dyDescent="0.25">
      <c r="N507" s="170">
        <v>89</v>
      </c>
      <c r="O507" s="199">
        <f t="shared" si="313"/>
        <v>776247.11662869214</v>
      </c>
      <c r="P507" s="189" t="str">
        <f t="shared" si="279"/>
        <v>120,833333333333</v>
      </c>
      <c r="Q507" s="160" t="str">
        <f t="shared" si="280"/>
        <v>1+4348,92982616489i</v>
      </c>
      <c r="R507" s="160">
        <f t="shared" si="288"/>
        <v>4348.9299411357024</v>
      </c>
      <c r="S507" s="160">
        <f t="shared" si="289"/>
        <v>1.5705663851719347</v>
      </c>
      <c r="T507" s="160" t="str">
        <f t="shared" si="281"/>
        <v>1+0,292638268676515i</v>
      </c>
      <c r="U507" s="160">
        <f t="shared" si="290"/>
        <v>1.0419391327203276</v>
      </c>
      <c r="V507" s="160">
        <f t="shared" si="291"/>
        <v>0.28468930358652311</v>
      </c>
      <c r="W507" s="98" t="str">
        <f t="shared" si="282"/>
        <v>1-2,50498357987097i</v>
      </c>
      <c r="X507" s="160">
        <f t="shared" si="292"/>
        <v>2.6972101763531851</v>
      </c>
      <c r="Y507" s="160">
        <f t="shared" si="293"/>
        <v>-1.1909761606646894</v>
      </c>
      <c r="Z507" s="98" t="str">
        <f t="shared" si="283"/>
        <v>0,502016871012925+0,970272802804711i</v>
      </c>
      <c r="AA507" s="160">
        <f t="shared" si="294"/>
        <v>1.0924514866318402</v>
      </c>
      <c r="AB507" s="160">
        <f t="shared" si="295"/>
        <v>1.0933276631320852</v>
      </c>
      <c r="AC507" s="171" t="str">
        <f t="shared" si="296"/>
        <v>-0,0650110987851859+0,029704444923935i</v>
      </c>
      <c r="AD507" s="190">
        <f t="shared" si="297"/>
        <v>-22.916813526846923</v>
      </c>
      <c r="AE507" s="169">
        <f t="shared" si="298"/>
        <v>155.44370202340568</v>
      </c>
      <c r="AF507" s="98" t="str">
        <f t="shared" si="284"/>
        <v>-0,0000375877424711299</v>
      </c>
      <c r="AG507" s="98" t="str">
        <f t="shared" si="285"/>
        <v>0,00494070943615516i</v>
      </c>
      <c r="AH507" s="98">
        <f t="shared" si="299"/>
        <v>4.9407094361551603E-3</v>
      </c>
      <c r="AI507" s="98">
        <f t="shared" si="300"/>
        <v>1.5707963267948966</v>
      </c>
      <c r="AJ507" s="98" t="str">
        <f t="shared" si="286"/>
        <v>1+4,50657156105985i</v>
      </c>
      <c r="AK507" s="98">
        <f t="shared" si="301"/>
        <v>4.6161875216409287</v>
      </c>
      <c r="AL507" s="98">
        <f t="shared" si="302"/>
        <v>1.35243620108159</v>
      </c>
      <c r="AM507" s="98" t="str">
        <f t="shared" si="287"/>
        <v>1+351,165922411818i</v>
      </c>
      <c r="AN507" s="98">
        <f t="shared" si="303"/>
        <v>351.16734623729326</v>
      </c>
      <c r="AO507" s="98">
        <f t="shared" si="304"/>
        <v>1.5679486777687737</v>
      </c>
      <c r="AP507" s="168" t="str">
        <f t="shared" si="305"/>
        <v>-0,123763608405464+0,565357320130481i</v>
      </c>
      <c r="AQ507" s="98">
        <f t="shared" si="306"/>
        <v>-4.7502477615524192</v>
      </c>
      <c r="AR507" s="169">
        <f t="shared" si="307"/>
        <v>102.34795534658717</v>
      </c>
      <c r="AS507" s="168" t="str">
        <f t="shared" si="308"/>
        <v>-0,00874761720610068-0,0404308298773982i</v>
      </c>
      <c r="AT507" s="190">
        <f t="shared" si="309"/>
        <v>-27.667061288399353</v>
      </c>
      <c r="AU507" s="169">
        <f t="shared" si="310"/>
        <v>-102.20834263000717</v>
      </c>
      <c r="AV507" s="225"/>
      <c r="AX507">
        <f t="shared" si="311"/>
        <v>0</v>
      </c>
      <c r="AY507">
        <f t="shared" si="312"/>
        <v>0</v>
      </c>
    </row>
    <row r="508" spans="14:51" x14ac:dyDescent="0.25">
      <c r="N508" s="170">
        <v>90</v>
      </c>
      <c r="O508" s="199">
        <f t="shared" si="313"/>
        <v>794328.23472428333</v>
      </c>
      <c r="P508" s="189" t="str">
        <f t="shared" si="279"/>
        <v>120,833333333333</v>
      </c>
      <c r="Q508" s="160" t="str">
        <f t="shared" si="280"/>
        <v>1+4450,2294150353i</v>
      </c>
      <c r="R508" s="160">
        <f t="shared" si="288"/>
        <v>4450.2295273890577</v>
      </c>
      <c r="S508" s="160">
        <f t="shared" si="289"/>
        <v>1.5705716192821131</v>
      </c>
      <c r="T508" s="160" t="str">
        <f t="shared" si="281"/>
        <v>1+0,299454689609851i</v>
      </c>
      <c r="U508" s="160">
        <f t="shared" si="290"/>
        <v>1.0438740877755959</v>
      </c>
      <c r="V508" s="160">
        <f t="shared" si="291"/>
        <v>0.29095643466129545</v>
      </c>
      <c r="W508" s="98" t="str">
        <f t="shared" si="282"/>
        <v>1-2,56333214306032i</v>
      </c>
      <c r="X508" s="160">
        <f t="shared" si="292"/>
        <v>2.751485358065024</v>
      </c>
      <c r="Y508" s="160">
        <f t="shared" si="293"/>
        <v>-1.1988385155897012</v>
      </c>
      <c r="Z508" s="98" t="str">
        <f t="shared" si="283"/>
        <v>0,478547649189919+0,992873359710669i</v>
      </c>
      <c r="AA508" s="160">
        <f t="shared" si="294"/>
        <v>1.1021820906585034</v>
      </c>
      <c r="AB508" s="160">
        <f t="shared" si="295"/>
        <v>1.1216662803984683</v>
      </c>
      <c r="AC508" s="171" t="str">
        <f t="shared" si="296"/>
        <v>-0,0634477262377678+0,0313188087635407i</v>
      </c>
      <c r="AD508" s="190">
        <f t="shared" si="297"/>
        <v>-23.004673628689986</v>
      </c>
      <c r="AE508" s="169">
        <f t="shared" si="298"/>
        <v>153.72831937038521</v>
      </c>
      <c r="AF508" s="98" t="str">
        <f t="shared" si="284"/>
        <v>-0,0000375877424711299</v>
      </c>
      <c r="AG508" s="98" t="str">
        <f t="shared" si="285"/>
        <v>0,00505579334291298i</v>
      </c>
      <c r="AH508" s="98">
        <f t="shared" si="299"/>
        <v>5.0557933429129804E-3</v>
      </c>
      <c r="AI508" s="98">
        <f t="shared" si="300"/>
        <v>1.5707963267948966</v>
      </c>
      <c r="AJ508" s="98" t="str">
        <f t="shared" si="286"/>
        <v>1+4,61154309764429i</v>
      </c>
      <c r="AK508" s="98">
        <f t="shared" si="301"/>
        <v>4.7187211976795895</v>
      </c>
      <c r="AL508" s="98">
        <f t="shared" si="302"/>
        <v>1.3572552959366897</v>
      </c>
      <c r="AM508" s="98" t="str">
        <f t="shared" si="287"/>
        <v>1+359,345627531821i</v>
      </c>
      <c r="AN508" s="98">
        <f t="shared" si="303"/>
        <v>359.34701894719842</v>
      </c>
      <c r="AO508" s="98">
        <f t="shared" si="304"/>
        <v>1.5680134978358018</v>
      </c>
      <c r="AP508" s="168" t="str">
        <f t="shared" si="305"/>
        <v>-0,118443494505441+0,553641867933812i</v>
      </c>
      <c r="AQ508" s="98">
        <f t="shared" si="306"/>
        <v>-4.9410668552043324</v>
      </c>
      <c r="AR508" s="169">
        <f t="shared" si="307"/>
        <v>102.07555546658517</v>
      </c>
      <c r="AS508" s="168" t="str">
        <f t="shared" si="308"/>
        <v>-0,00982443337128274-0,0388368268241323i</v>
      </c>
      <c r="AT508" s="190">
        <f t="shared" si="309"/>
        <v>-27.945740483894316</v>
      </c>
      <c r="AU508" s="169">
        <f t="shared" si="310"/>
        <v>-104.19612516302961</v>
      </c>
      <c r="AV508" s="225"/>
      <c r="AX508">
        <f t="shared" si="311"/>
        <v>0</v>
      </c>
      <c r="AY508">
        <f t="shared" si="312"/>
        <v>0</v>
      </c>
    </row>
    <row r="509" spans="14:51" x14ac:dyDescent="0.25">
      <c r="N509" s="170">
        <v>91</v>
      </c>
      <c r="O509" s="199">
        <f t="shared" si="313"/>
        <v>812830.51616410096</v>
      </c>
      <c r="P509" s="189" t="str">
        <f t="shared" si="279"/>
        <v>120,833333333333</v>
      </c>
      <c r="Q509" s="160" t="str">
        <f t="shared" si="280"/>
        <v>1+4553,8885744473i</v>
      </c>
      <c r="R509" s="160">
        <f t="shared" si="288"/>
        <v>4553.8886842435732</v>
      </c>
      <c r="S509" s="160">
        <f t="shared" si="289"/>
        <v>1.5705767342494097</v>
      </c>
      <c r="T509" s="160" t="str">
        <f t="shared" si="281"/>
        <v>1+0,306429885383368i</v>
      </c>
      <c r="U509" s="160">
        <f t="shared" si="290"/>
        <v>1.0458963976685569</v>
      </c>
      <c r="V509" s="160">
        <f t="shared" si="291"/>
        <v>0.29734528289462542</v>
      </c>
      <c r="W509" s="98" t="str">
        <f t="shared" si="282"/>
        <v>1-2,62303981888163i</v>
      </c>
      <c r="X509" s="160">
        <f t="shared" si="292"/>
        <v>2.8071939532990191</v>
      </c>
      <c r="Y509" s="160">
        <f t="shared" si="293"/>
        <v>-1.2065687891974584</v>
      </c>
      <c r="Z509" s="98" t="str">
        <f t="shared" si="283"/>
        <v>0,453972357018512+1,01600035121418i</v>
      </c>
      <c r="AA509" s="160">
        <f t="shared" si="294"/>
        <v>1.1128106822835051</v>
      </c>
      <c r="AB509" s="160">
        <f t="shared" si="295"/>
        <v>1.1505875088110959</v>
      </c>
      <c r="AC509" s="171" t="str">
        <f t="shared" si="296"/>
        <v>-0,0618095110266358+0,0328728591609319i</v>
      </c>
      <c r="AD509" s="190">
        <f t="shared" si="297"/>
        <v>-23.097117066403943</v>
      </c>
      <c r="AE509" s="169">
        <f t="shared" si="298"/>
        <v>151.99410396548308</v>
      </c>
      <c r="AF509" s="98" t="str">
        <f t="shared" si="284"/>
        <v>-0,0000375877424711299</v>
      </c>
      <c r="AG509" s="98" t="str">
        <f t="shared" si="285"/>
        <v>0,00517355789822254i</v>
      </c>
      <c r="AH509" s="98">
        <f t="shared" si="299"/>
        <v>5.1735578982225403E-3</v>
      </c>
      <c r="AI509" s="98">
        <f t="shared" si="300"/>
        <v>1.5707963267948966</v>
      </c>
      <c r="AJ509" s="98" t="str">
        <f t="shared" si="286"/>
        <v>1+4,71895973542008i</v>
      </c>
      <c r="AK509" s="98">
        <f t="shared" si="301"/>
        <v>4.8237517540308765</v>
      </c>
      <c r="AL509" s="98">
        <f t="shared" si="302"/>
        <v>1.3619744472089865</v>
      </c>
      <c r="AM509" s="98" t="str">
        <f t="shared" si="287"/>
        <v>1+367,715862460042i</v>
      </c>
      <c r="AN509" s="98">
        <f t="shared" si="303"/>
        <v>367.71722220305713</v>
      </c>
      <c r="AO509" s="98">
        <f t="shared" si="304"/>
        <v>1.5680768424405629</v>
      </c>
      <c r="AP509" s="168" t="str">
        <f t="shared" si="305"/>
        <v>-0,113341759265014+0,542120554806926i</v>
      </c>
      <c r="AQ509" s="98">
        <f t="shared" si="306"/>
        <v>-5.1322809965477445</v>
      </c>
      <c r="AR509" s="169">
        <f t="shared" si="307"/>
        <v>101.80879739430658</v>
      </c>
      <c r="AS509" s="168" t="str">
        <f t="shared" si="308"/>
        <v>-0,0108154539273452-0,0372340740994757i</v>
      </c>
      <c r="AT509" s="190">
        <f t="shared" si="309"/>
        <v>-28.229398062951674</v>
      </c>
      <c r="AU509" s="169">
        <f t="shared" si="310"/>
        <v>-106.19709864021037</v>
      </c>
      <c r="AV509" s="225"/>
      <c r="AX509">
        <f t="shared" si="311"/>
        <v>0</v>
      </c>
      <c r="AY509">
        <f t="shared" si="312"/>
        <v>0</v>
      </c>
    </row>
    <row r="510" spans="14:51" x14ac:dyDescent="0.25">
      <c r="N510" s="170">
        <v>92</v>
      </c>
      <c r="O510" s="199">
        <f t="shared" si="313"/>
        <v>831763.77110267128</v>
      </c>
      <c r="P510" s="189" t="str">
        <f t="shared" si="279"/>
        <v>120,833333333333</v>
      </c>
      <c r="Q510" s="160" t="str">
        <f t="shared" si="280"/>
        <v>1+4659,96226585931i</v>
      </c>
      <c r="R510" s="160">
        <f t="shared" si="288"/>
        <v>4659.9623731563142</v>
      </c>
      <c r="S510" s="160">
        <f t="shared" si="289"/>
        <v>1.5705817327858471</v>
      </c>
      <c r="T510" s="160" t="str">
        <f t="shared" si="281"/>
        <v>1+0,313567554338195i</v>
      </c>
      <c r="U510" s="160">
        <f t="shared" si="290"/>
        <v>1.0480098335099899</v>
      </c>
      <c r="V510" s="160">
        <f t="shared" si="291"/>
        <v>0.30385714875749498</v>
      </c>
      <c r="W510" s="98" t="str">
        <f t="shared" si="282"/>
        <v>1-2,68413826513495i</v>
      </c>
      <c r="X510" s="160">
        <f t="shared" si="292"/>
        <v>2.8643669852799341</v>
      </c>
      <c r="Y510" s="160">
        <f t="shared" si="293"/>
        <v>-1.2141673836513744</v>
      </c>
      <c r="Z510" s="98" t="str">
        <f t="shared" si="283"/>
        <v>0,428238867009141+1,03966603955225i</v>
      </c>
      <c r="AA510" s="160">
        <f t="shared" si="294"/>
        <v>1.1244082892862064</v>
      </c>
      <c r="AB510" s="160">
        <f t="shared" si="295"/>
        <v>1.1800732583831519</v>
      </c>
      <c r="AC510" s="171" t="str">
        <f t="shared" si="296"/>
        <v>-0,0600979242283269+0,0343597269674558i</v>
      </c>
      <c r="AD510" s="190">
        <f t="shared" si="297"/>
        <v>-23.194513507290701</v>
      </c>
      <c r="AE510" s="169">
        <f t="shared" si="298"/>
        <v>150.24214360243977</v>
      </c>
      <c r="AF510" s="98" t="str">
        <f t="shared" si="284"/>
        <v>-0,0000375877424711299</v>
      </c>
      <c r="AG510" s="98" t="str">
        <f t="shared" si="285"/>
        <v>0,00529406554240986i</v>
      </c>
      <c r="AH510" s="98">
        <f t="shared" si="299"/>
        <v>5.2940655424098598E-3</v>
      </c>
      <c r="AI510" s="98">
        <f t="shared" si="300"/>
        <v>1.5707963267948966</v>
      </c>
      <c r="AJ510" s="98" t="str">
        <f t="shared" si="286"/>
        <v>1+4,8288784281104i</v>
      </c>
      <c r="AK510" s="98">
        <f t="shared" si="301"/>
        <v>4.9313352018971459</v>
      </c>
      <c r="AL510" s="98">
        <f t="shared" si="302"/>
        <v>1.3665953158869535</v>
      </c>
      <c r="AM510" s="98" t="str">
        <f t="shared" si="287"/>
        <v>1+376,281065205834i</v>
      </c>
      <c r="AN510" s="98">
        <f t="shared" si="303"/>
        <v>376.28239399743001</v>
      </c>
      <c r="AO510" s="98">
        <f t="shared" si="304"/>
        <v>1.5681387451671707</v>
      </c>
      <c r="AP510" s="168" t="str">
        <f t="shared" si="305"/>
        <v>-0,10845031054926+0,530793341922305i</v>
      </c>
      <c r="AQ510" s="98">
        <f t="shared" si="306"/>
        <v>-5.3238739362878116</v>
      </c>
      <c r="AR510" s="169">
        <f t="shared" si="307"/>
        <v>101.5475878863498</v>
      </c>
      <c r="AS510" s="168" t="str">
        <f t="shared" si="308"/>
        <v>-0,0117202757586659-0,0356259011037555i</v>
      </c>
      <c r="AT510" s="190">
        <f t="shared" si="309"/>
        <v>-28.518387443578497</v>
      </c>
      <c r="AU510" s="169">
        <f t="shared" si="310"/>
        <v>-108.21026851121047</v>
      </c>
      <c r="AV510" s="225"/>
      <c r="AX510">
        <f t="shared" si="311"/>
        <v>0</v>
      </c>
      <c r="AY510">
        <f t="shared" si="312"/>
        <v>0</v>
      </c>
    </row>
    <row r="511" spans="14:51" x14ac:dyDescent="0.25">
      <c r="N511" s="170">
        <v>93</v>
      </c>
      <c r="O511" s="199">
        <f t="shared" si="313"/>
        <v>851138.03820237669</v>
      </c>
      <c r="P511" s="189" t="str">
        <f t="shared" si="279"/>
        <v>120,833333333333</v>
      </c>
      <c r="Q511" s="160" t="str">
        <f t="shared" si="280"/>
        <v>1+4768,50673094657i</v>
      </c>
      <c r="R511" s="160">
        <f t="shared" si="288"/>
        <v>4768.5068358011968</v>
      </c>
      <c r="S511" s="160">
        <f t="shared" si="289"/>
        <v>1.5705866175417145</v>
      </c>
      <c r="T511" s="160" t="str">
        <f t="shared" si="281"/>
        <v>1+0,320871480960889i</v>
      </c>
      <c r="U511" s="160">
        <f t="shared" si="290"/>
        <v>1.0502183141109445</v>
      </c>
      <c r="V511" s="160">
        <f t="shared" si="291"/>
        <v>0.31049327507300495</v>
      </c>
      <c r="W511" s="98" t="str">
        <f t="shared" si="282"/>
        <v>1-2,74665987702521i</v>
      </c>
      <c r="X511" s="160">
        <f t="shared" si="292"/>
        <v>2.9230361749489417</v>
      </c>
      <c r="Y511" s="160">
        <f t="shared" si="293"/>
        <v>-1.2216348169643394</v>
      </c>
      <c r="Z511" s="98" t="str">
        <f t="shared" si="283"/>
        <v>0,401292594979345+1,0638829725861i</v>
      </c>
      <c r="AA511" s="160">
        <f t="shared" si="294"/>
        <v>1.1370500103970331</v>
      </c>
      <c r="AB511" s="160">
        <f t="shared" si="295"/>
        <v>1.2101016285839421</v>
      </c>
      <c r="AC511" s="171" t="str">
        <f t="shared" si="296"/>
        <v>-0,0583152684812015+0,0357724245721784i</v>
      </c>
      <c r="AD511" s="190">
        <f t="shared" si="297"/>
        <v>-23.297228846198024</v>
      </c>
      <c r="AE511" s="169">
        <f t="shared" si="298"/>
        <v>148.47373446594904</v>
      </c>
      <c r="AF511" s="98" t="str">
        <f t="shared" si="284"/>
        <v>-0,0000375877424711299</v>
      </c>
      <c r="AG511" s="98" t="str">
        <f t="shared" si="285"/>
        <v>0,00541738017022302i</v>
      </c>
      <c r="AH511" s="98">
        <f t="shared" si="299"/>
        <v>5.41738017022302E-3</v>
      </c>
      <c r="AI511" s="98">
        <f t="shared" si="300"/>
        <v>1.5707963267948966</v>
      </c>
      <c r="AJ511" s="98" t="str">
        <f t="shared" si="286"/>
        <v>1+4,94135745606107i</v>
      </c>
      <c r="AK511" s="98">
        <f t="shared" si="301"/>
        <v>5.0415288860196297</v>
      </c>
      <c r="AL511" s="98">
        <f t="shared" si="302"/>
        <v>1.371119562313093</v>
      </c>
      <c r="AM511" s="98" t="str">
        <f t="shared" si="287"/>
        <v>1+385,045777153067i</v>
      </c>
      <c r="AN511" s="98">
        <f t="shared" si="303"/>
        <v>385.04707569777656</v>
      </c>
      <c r="AO511" s="98">
        <f t="shared" si="304"/>
        <v>1.5681992388353712</v>
      </c>
      <c r="AP511" s="168" t="str">
        <f t="shared" si="305"/>
        <v>-0,103761281926227+0,519659945682856i</v>
      </c>
      <c r="AQ511" s="98">
        <f t="shared" si="306"/>
        <v>-5.5158300300995267</v>
      </c>
      <c r="AR511" s="169">
        <f t="shared" si="307"/>
        <v>101.29183369253002</v>
      </c>
      <c r="AS511" s="168" t="str">
        <f t="shared" si="308"/>
        <v>-0,0125386291966407-0,0340159018826408i</v>
      </c>
      <c r="AT511" s="190">
        <f t="shared" si="309"/>
        <v>-28.813058876297561</v>
      </c>
      <c r="AU511" s="169">
        <f t="shared" si="310"/>
        <v>-110.23443184152092</v>
      </c>
      <c r="AV511" s="225"/>
      <c r="AX511">
        <f t="shared" si="311"/>
        <v>0</v>
      </c>
      <c r="AY511">
        <f t="shared" si="312"/>
        <v>0</v>
      </c>
    </row>
    <row r="512" spans="14:51" x14ac:dyDescent="0.25">
      <c r="N512" s="170">
        <v>94</v>
      </c>
      <c r="O512" s="199">
        <f t="shared" si="313"/>
        <v>870963.58995608077</v>
      </c>
      <c r="P512" s="189" t="str">
        <f t="shared" si="279"/>
        <v>120,833333333333</v>
      </c>
      <c r="Q512" s="160" t="str">
        <f t="shared" si="280"/>
        <v>1+4879,57952142123i</v>
      </c>
      <c r="R512" s="160">
        <f t="shared" si="288"/>
        <v>4879.5796238890753</v>
      </c>
      <c r="S512" s="160">
        <f t="shared" si="289"/>
        <v>1.5705913911069731</v>
      </c>
      <c r="T512" s="160" t="str">
        <f t="shared" si="281"/>
        <v>1+0,328345537890025i</v>
      </c>
      <c r="U512" s="160">
        <f t="shared" si="290"/>
        <v>1.052525910489756</v>
      </c>
      <c r="V512" s="160">
        <f t="shared" si="291"/>
        <v>0.31725484163216155</v>
      </c>
      <c r="W512" s="98" t="str">
        <f t="shared" si="282"/>
        <v>1-2,81063780433862i</v>
      </c>
      <c r="X512" s="160">
        <f t="shared" si="292"/>
        <v>2.9832339611866545</v>
      </c>
      <c r="Y512" s="160">
        <f t="shared" si="293"/>
        <v>-1.2289717162583074</v>
      </c>
      <c r="Z512" s="98" t="str">
        <f t="shared" si="283"/>
        <v>0,373076384273401+1,08866399045417i</v>
      </c>
      <c r="AA512" s="160">
        <f t="shared" si="294"/>
        <v>1.1508150470923257</v>
      </c>
      <c r="AB512" s="160">
        <f t="shared" si="295"/>
        <v>1.240646797534769</v>
      </c>
      <c r="AC512" s="171" t="str">
        <f t="shared" si="296"/>
        <v>-0,0564647289808526+0,0371039563395995i</v>
      </c>
      <c r="AD512" s="190">
        <f t="shared" si="297"/>
        <v>-23.405621488013516</v>
      </c>
      <c r="AE512" s="169">
        <f t="shared" si="298"/>
        <v>146.69038755788955</v>
      </c>
      <c r="AF512" s="98" t="str">
        <f t="shared" si="284"/>
        <v>-0,0000375877424711299</v>
      </c>
      <c r="AG512" s="98" t="str">
        <f t="shared" si="285"/>
        <v>0,00554356716470994i</v>
      </c>
      <c r="AH512" s="98">
        <f t="shared" si="299"/>
        <v>5.5435671647099402E-3</v>
      </c>
      <c r="AI512" s="98">
        <f t="shared" si="300"/>
        <v>1.5707963267948966</v>
      </c>
      <c r="AJ512" s="98" t="str">
        <f t="shared" si="286"/>
        <v>1+5,05645645714155i</v>
      </c>
      <c r="AK512" s="98">
        <f t="shared" si="301"/>
        <v>5.1543915162673164</v>
      </c>
      <c r="AL512" s="98">
        <f t="shared" si="302"/>
        <v>1.375548844105642</v>
      </c>
      <c r="AM512" s="98" t="str">
        <f t="shared" si="287"/>
        <v>1+394,014645468031i</v>
      </c>
      <c r="AN512" s="98">
        <f t="shared" si="303"/>
        <v>394.01591445435065</v>
      </c>
      <c r="AO512" s="98">
        <f t="shared" si="304"/>
        <v>1.5682583555179359</v>
      </c>
      <c r="AP512" s="168" t="str">
        <f t="shared" si="305"/>
        <v>-0,0992670329810935+0,508719855093058i</v>
      </c>
      <c r="AQ512" s="98">
        <f t="shared" si="306"/>
        <v>-5.7081342215006812</v>
      </c>
      <c r="AR512" s="169">
        <f t="shared" si="307"/>
        <v>101.04144167595257</v>
      </c>
      <c r="AS512" s="168" t="str">
        <f t="shared" si="308"/>
        <v>-0,0132704331784494-0,0324079284027002i</v>
      </c>
      <c r="AT512" s="190">
        <f t="shared" si="309"/>
        <v>-29.113755709514194</v>
      </c>
      <c r="AU512" s="169">
        <f t="shared" si="310"/>
        <v>-112.26817076615782</v>
      </c>
      <c r="AV512" s="225"/>
      <c r="AX512">
        <f t="shared" si="311"/>
        <v>0</v>
      </c>
      <c r="AY512">
        <f t="shared" si="312"/>
        <v>0</v>
      </c>
    </row>
    <row r="513" spans="14:51" x14ac:dyDescent="0.25">
      <c r="N513" s="170">
        <v>95</v>
      </c>
      <c r="O513" s="199">
        <f t="shared" si="313"/>
        <v>891250.93813374708</v>
      </c>
      <c r="P513" s="189" t="str">
        <f t="shared" si="279"/>
        <v>120,833333333333</v>
      </c>
      <c r="Q513" s="160" t="str">
        <f t="shared" si="280"/>
        <v>1+4993,23952954703i</v>
      </c>
      <c r="R513" s="160">
        <f t="shared" si="288"/>
        <v>4993.2396296824209</v>
      </c>
      <c r="S513" s="160">
        <f t="shared" si="289"/>
        <v>1.5705960560126293</v>
      </c>
      <c r="T513" s="160" t="str">
        <f t="shared" si="281"/>
        <v>1+0,335993687969518i</v>
      </c>
      <c r="U513" s="160">
        <f t="shared" si="290"/>
        <v>1.0549368504111314</v>
      </c>
      <c r="V513" s="160">
        <f t="shared" si="291"/>
        <v>0.32414295960727463</v>
      </c>
      <c r="W513" s="98" t="str">
        <f t="shared" si="282"/>
        <v>1-2,87610596901908i</v>
      </c>
      <c r="X513" s="160">
        <f t="shared" si="292"/>
        <v>3.0449935213440407</v>
      </c>
      <c r="Y513" s="160">
        <f t="shared" si="293"/>
        <v>-1.2361788111224892</v>
      </c>
      <c r="Z513" s="98" t="str">
        <f t="shared" si="283"/>
        <v>0,343530384525385+1,11402223238016i</v>
      </c>
      <c r="AA513" s="160">
        <f t="shared" si="294"/>
        <v>1.1657867126234689</v>
      </c>
      <c r="AB513" s="160">
        <f t="shared" si="295"/>
        <v>1.2716789659606398</v>
      </c>
      <c r="AC513" s="171" t="str">
        <f t="shared" si="296"/>
        <v>-0,0545504082324116+0,038347442861593i</v>
      </c>
      <c r="AD513" s="190">
        <f t="shared" si="297"/>
        <v>-23.520038349743693</v>
      </c>
      <c r="AE513" s="169">
        <f t="shared" si="298"/>
        <v>144.89383196903623</v>
      </c>
      <c r="AF513" s="98" t="str">
        <f t="shared" si="284"/>
        <v>-0,0000375877424711299</v>
      </c>
      <c r="AG513" s="98" t="str">
        <f t="shared" si="285"/>
        <v>0,00567269343188538i</v>
      </c>
      <c r="AH513" s="98">
        <f t="shared" si="299"/>
        <v>5.6726934318853802E-3</v>
      </c>
      <c r="AI513" s="98">
        <f t="shared" si="300"/>
        <v>1.5707963267948966</v>
      </c>
      <c r="AJ513" s="98" t="str">
        <f t="shared" si="286"/>
        <v>1+5,17423645836573i</v>
      </c>
      <c r="AK513" s="98">
        <f t="shared" si="301"/>
        <v>5.2699831998860418</v>
      </c>
      <c r="AL513" s="98">
        <f t="shared" si="302"/>
        <v>1.3798848142290707</v>
      </c>
      <c r="AM513" s="98" t="str">
        <f t="shared" si="287"/>
        <v>1+403,192425563422i</v>
      </c>
      <c r="AN513" s="98">
        <f t="shared" si="303"/>
        <v>403.19366566417631</v>
      </c>
      <c r="AO513" s="98">
        <f t="shared" si="304"/>
        <v>1.5683161265576591</v>
      </c>
      <c r="AP513" s="168" t="str">
        <f t="shared" si="305"/>
        <v>-0,0949601488953706+0,497972348380258i</v>
      </c>
      <c r="AQ513" s="98">
        <f t="shared" si="306"/>
        <v>-5.9007720247299789</v>
      </c>
      <c r="AR513" s="169">
        <f t="shared" si="307"/>
        <v>100.79631892453958</v>
      </c>
      <c r="AS513" s="168" t="str">
        <f t="shared" si="308"/>
        <v>-0,0139158512881122-0,0308060737764893i</v>
      </c>
      <c r="AT513" s="190">
        <f t="shared" si="309"/>
        <v>-29.420810374473682</v>
      </c>
      <c r="AU513" s="169">
        <f t="shared" si="310"/>
        <v>-114.30984910642428</v>
      </c>
      <c r="AV513" s="225"/>
      <c r="AX513">
        <f t="shared" si="311"/>
        <v>0</v>
      </c>
      <c r="AY513">
        <f t="shared" si="312"/>
        <v>0</v>
      </c>
    </row>
    <row r="514" spans="14:51" x14ac:dyDescent="0.25">
      <c r="N514" s="170">
        <v>96</v>
      </c>
      <c r="O514" s="199">
        <f t="shared" si="313"/>
        <v>912010.83935591124</v>
      </c>
      <c r="P514" s="189" t="str">
        <f t="shared" si="279"/>
        <v>120,833333333333</v>
      </c>
      <c r="Q514" s="160" t="str">
        <f t="shared" si="280"/>
        <v>1+5109,54701936473i</v>
      </c>
      <c r="R514" s="160">
        <f t="shared" si="288"/>
        <v>5109.5471172207617</v>
      </c>
      <c r="S514" s="160">
        <f t="shared" si="289"/>
        <v>1.5706006147320772</v>
      </c>
      <c r="T514" s="160" t="str">
        <f t="shared" si="281"/>
        <v>1+0,343819986349774i</v>
      </c>
      <c r="U514" s="160">
        <f t="shared" si="290"/>
        <v>1.0574555229481564</v>
      </c>
      <c r="V514" s="160">
        <f t="shared" si="291"/>
        <v>0.33115866576979247</v>
      </c>
      <c r="W514" s="98" t="str">
        <f t="shared" si="282"/>
        <v>1-2,94309908315407i</v>
      </c>
      <c r="X514" s="160">
        <f t="shared" si="292"/>
        <v>3.1083487920859731</v>
      </c>
      <c r="Y514" s="160">
        <f t="shared" si="293"/>
        <v>-1.2432569270918887</v>
      </c>
      <c r="Z514" s="98" t="str">
        <f t="shared" si="283"/>
        <v>0,312591924708533+1,13997114363958i</v>
      </c>
      <c r="AA514" s="160">
        <f t="shared" si="294"/>
        <v>1.1820524183486607</v>
      </c>
      <c r="AB514" s="160">
        <f t="shared" si="295"/>
        <v>1.303164363970188</v>
      </c>
      <c r="AC514" s="171" t="str">
        <f t="shared" si="296"/>
        <v>-0,0525773409857445+0,0394962564548108i</v>
      </c>
      <c r="AD514" s="190">
        <f t="shared" si="297"/>
        <v>-23.640810650365097</v>
      </c>
      <c r="AE514" s="169">
        <f t="shared" si="298"/>
        <v>143.08601453288077</v>
      </c>
      <c r="AF514" s="98" t="str">
        <f t="shared" si="284"/>
        <v>-0,0000375877424711299</v>
      </c>
      <c r="AG514" s="98" t="str">
        <f t="shared" si="285"/>
        <v>0,00580482743620537i</v>
      </c>
      <c r="AH514" s="98">
        <f t="shared" si="299"/>
        <v>5.8048274362053698E-3</v>
      </c>
      <c r="AI514" s="98">
        <f t="shared" si="300"/>
        <v>1.5707963267948966</v>
      </c>
      <c r="AJ514" s="98" t="str">
        <f t="shared" si="286"/>
        <v>1+5,29475990824923i</v>
      </c>
      <c r="AK514" s="98">
        <f t="shared" si="301"/>
        <v>5.3883654744276006</v>
      </c>
      <c r="AL514" s="98">
        <f t="shared" si="302"/>
        <v>1.3841291192068239</v>
      </c>
      <c r="AM514" s="98" t="str">
        <f t="shared" si="287"/>
        <v>1+412,583983619729i</v>
      </c>
      <c r="AN514" s="98">
        <f t="shared" si="303"/>
        <v>412.58519549242766</v>
      </c>
      <c r="AO514" s="98">
        <f t="shared" si="304"/>
        <v>1.5683725825839672</v>
      </c>
      <c r="AP514" s="168" t="str">
        <f t="shared" si="305"/>
        <v>-0,090833439364963+0,487416508868838i</v>
      </c>
      <c r="AQ514" s="98">
        <f t="shared" si="306"/>
        <v>-6.0937295076817657</v>
      </c>
      <c r="AR514" s="169">
        <f t="shared" si="307"/>
        <v>100.55637285438341</v>
      </c>
      <c r="AS514" s="168" t="str">
        <f t="shared" si="308"/>
        <v>-0,0144753467201926-0,0292146448047091i</v>
      </c>
      <c r="AT514" s="190">
        <f t="shared" si="309"/>
        <v>-29.734540158046869</v>
      </c>
      <c r="AU514" s="169">
        <f t="shared" si="310"/>
        <v>-116.35761261273588</v>
      </c>
      <c r="AV514" s="225"/>
      <c r="AX514">
        <f t="shared" si="311"/>
        <v>0</v>
      </c>
      <c r="AY514">
        <f t="shared" si="312"/>
        <v>0</v>
      </c>
    </row>
    <row r="515" spans="14:51" x14ac:dyDescent="0.25">
      <c r="N515" s="170">
        <v>97</v>
      </c>
      <c r="O515" s="199">
        <f t="shared" si="313"/>
        <v>933254.30079699249</v>
      </c>
      <c r="P515" s="189" t="str">
        <f t="shared" si="279"/>
        <v>120,833333333333</v>
      </c>
      <c r="Q515" s="160" t="str">
        <f t="shared" si="280"/>
        <v>1+5228,56365864494i</v>
      </c>
      <c r="R515" s="160">
        <f t="shared" si="288"/>
        <v>5228.5637542734967</v>
      </c>
      <c r="S515" s="160">
        <f t="shared" si="289"/>
        <v>1.5706050696824096</v>
      </c>
      <c r="T515" s="160" t="str">
        <f t="shared" si="281"/>
        <v>1+0,351828582637788i</v>
      </c>
      <c r="U515" s="160">
        <f t="shared" si="290"/>
        <v>1.0600864830573564</v>
      </c>
      <c r="V515" s="160">
        <f t="shared" si="291"/>
        <v>0.33830291652130123</v>
      </c>
      <c r="W515" s="98" t="str">
        <f t="shared" si="282"/>
        <v>1-3,01165266737947i</v>
      </c>
      <c r="X515" s="160">
        <f t="shared" si="292"/>
        <v>3.173334490553096</v>
      </c>
      <c r="Y515" s="160">
        <f t="shared" si="293"/>
        <v>-1.2502069792652384</v>
      </c>
      <c r="Z515" s="98" t="str">
        <f t="shared" si="283"/>
        <v>0,280195380201582+1,16652448268866i</v>
      </c>
      <c r="AA515" s="160">
        <f t="shared" si="294"/>
        <v>1.1997036383200457</v>
      </c>
      <c r="AB515" s="160">
        <f t="shared" si="295"/>
        <v>1.3350653275308051</v>
      </c>
      <c r="AC515" s="171" t="str">
        <f t="shared" si="296"/>
        <v>-0,0505514861957335+0,0405441643759268i</v>
      </c>
      <c r="AD515" s="190">
        <f t="shared" si="297"/>
        <v>-23.768249573969548</v>
      </c>
      <c r="AE515" s="169">
        <f t="shared" si="298"/>
        <v>141.26909546752074</v>
      </c>
      <c r="AF515" s="98" t="str">
        <f t="shared" si="284"/>
        <v>-0,0000375877424711299</v>
      </c>
      <c r="AG515" s="98" t="str">
        <f t="shared" si="285"/>
        <v>0,00594003923686801i</v>
      </c>
      <c r="AH515" s="98">
        <f t="shared" si="299"/>
        <v>5.9400392368680098E-3</v>
      </c>
      <c r="AI515" s="98">
        <f t="shared" si="300"/>
        <v>1.5707963267948966</v>
      </c>
      <c r="AJ515" s="98" t="str">
        <f t="shared" si="286"/>
        <v>1+5,41809070992053i</v>
      </c>
      <c r="AK515" s="98">
        <f t="shared" si="301"/>
        <v>5.5096013413791702</v>
      </c>
      <c r="AL515" s="98">
        <f t="shared" si="302"/>
        <v>1.3882833974698066</v>
      </c>
      <c r="AM515" s="98" t="str">
        <f t="shared" si="287"/>
        <v>1+422,194299165347i</v>
      </c>
      <c r="AN515" s="98">
        <f t="shared" si="303"/>
        <v>422.19548345253355</v>
      </c>
      <c r="AO515" s="98">
        <f t="shared" si="304"/>
        <v>1.568427753529152</v>
      </c>
      <c r="AP515" s="168" t="str">
        <f t="shared" si="305"/>
        <v>-0,0868799369264478+0,477051240113691i</v>
      </c>
      <c r="AQ515" s="98">
        <f t="shared" si="306"/>
        <v>-6.2869932749455382</v>
      </c>
      <c r="AR515" s="169">
        <f t="shared" si="307"/>
        <v>100.32151130530241</v>
      </c>
      <c r="AS515" s="168" t="str">
        <f t="shared" si="308"/>
        <v>-0,0149497339626857-0,0276381236229808i</v>
      </c>
      <c r="AT515" s="190">
        <f t="shared" si="309"/>
        <v>-30.0552428489151</v>
      </c>
      <c r="AU515" s="169">
        <f t="shared" si="310"/>
        <v>-118.40939322717691</v>
      </c>
      <c r="AV515" s="225"/>
      <c r="AX515">
        <f t="shared" si="311"/>
        <v>0</v>
      </c>
      <c r="AY515">
        <f t="shared" si="312"/>
        <v>0</v>
      </c>
    </row>
    <row r="516" spans="14:51" x14ac:dyDescent="0.25">
      <c r="N516" s="170">
        <v>98</v>
      </c>
      <c r="O516" s="199">
        <f t="shared" si="313"/>
        <v>954992.58602143743</v>
      </c>
      <c r="P516" s="189" t="str">
        <f t="shared" si="279"/>
        <v>120,833333333333</v>
      </c>
      <c r="Q516" s="160" t="str">
        <f t="shared" si="280"/>
        <v>1+5350,35255158519i</v>
      </c>
      <c r="R516" s="160">
        <f t="shared" si="288"/>
        <v>5350.3526450369745</v>
      </c>
      <c r="S516" s="160">
        <f t="shared" si="289"/>
        <v>1.5706094232256993</v>
      </c>
      <c r="T516" s="160" t="str">
        <f t="shared" si="281"/>
        <v>1+0,360023723097319i</v>
      </c>
      <c r="U516" s="160">
        <f t="shared" si="290"/>
        <v>1.0628344561562044</v>
      </c>
      <c r="V516" s="160">
        <f t="shared" si="291"/>
        <v>0.34557658174846051</v>
      </c>
      <c r="W516" s="98" t="str">
        <f t="shared" si="282"/>
        <v>1-3,08180306971305i</v>
      </c>
      <c r="X516" s="160">
        <f t="shared" si="292"/>
        <v>3.2399861358488526</v>
      </c>
      <c r="Y516" s="160">
        <f t="shared" si="293"/>
        <v>-1.25702996607885</v>
      </c>
      <c r="Z516" s="98" t="str">
        <f t="shared" si="283"/>
        <v>0,246272033590154+1,19369632845924i</v>
      </c>
      <c r="AA516" s="160">
        <f t="shared" si="294"/>
        <v>1.2188358540450388</v>
      </c>
      <c r="AB516" s="160">
        <f t="shared" si="295"/>
        <v>1.3673404497778716</v>
      </c>
      <c r="AC516" s="171" t="str">
        <f t="shared" si="296"/>
        <v>-0,0484796935399183+0,0414854753309496i</v>
      </c>
      <c r="AD516" s="190">
        <f t="shared" si="297"/>
        <v>-23.902641907430052</v>
      </c>
      <c r="AE516" s="169">
        <f t="shared" si="298"/>
        <v>139.44543971085247</v>
      </c>
      <c r="AF516" s="98" t="str">
        <f t="shared" si="284"/>
        <v>-0,0000375877424711299</v>
      </c>
      <c r="AG516" s="98" t="str">
        <f t="shared" si="285"/>
        <v>0,00607840052495975i</v>
      </c>
      <c r="AH516" s="98">
        <f t="shared" si="299"/>
        <v>6.0784005249597496E-3</v>
      </c>
      <c r="AI516" s="98">
        <f t="shared" si="300"/>
        <v>1.5707963267948966</v>
      </c>
      <c r="AJ516" s="98" t="str">
        <f t="shared" si="286"/>
        <v>1+5,54429425500313i</v>
      </c>
      <c r="AK516" s="98">
        <f t="shared" si="301"/>
        <v>5.6337553005132124</v>
      </c>
      <c r="AL516" s="98">
        <f t="shared" si="302"/>
        <v>1.3923492778341644</v>
      </c>
      <c r="AM516" s="98" t="str">
        <f t="shared" si="287"/>
        <v>1+432,028467716783i</v>
      </c>
      <c r="AN516" s="98">
        <f t="shared" si="303"/>
        <v>432.02962504637497</v>
      </c>
      <c r="AO516" s="98">
        <f t="shared" si="304"/>
        <v>1.5684816686442349</v>
      </c>
      <c r="AP516" s="168" t="str">
        <f t="shared" si="305"/>
        <v>-0,083092894756491+0,466875280302839i</v>
      </c>
      <c r="AQ516" s="98">
        <f t="shared" si="306"/>
        <v>-6.4805504509927481</v>
      </c>
      <c r="AR516" s="169">
        <f t="shared" si="307"/>
        <v>100.09164262896586</v>
      </c>
      <c r="AS516" s="168" t="str">
        <f t="shared" si="308"/>
        <v>-0,0153402248504942-0,0260811187460427i</v>
      </c>
      <c r="AT516" s="190">
        <f t="shared" si="309"/>
        <v>-30.3831923584228</v>
      </c>
      <c r="AU516" s="169">
        <f t="shared" si="310"/>
        <v>-120.46291766018157</v>
      </c>
      <c r="AV516" s="225"/>
      <c r="AX516">
        <f t="shared" si="311"/>
        <v>0</v>
      </c>
      <c r="AY516">
        <f t="shared" si="312"/>
        <v>0</v>
      </c>
    </row>
    <row r="517" spans="14:51" x14ac:dyDescent="0.25">
      <c r="N517" s="170">
        <v>99</v>
      </c>
      <c r="O517" s="199">
        <f t="shared" si="313"/>
        <v>977237.22095581202</v>
      </c>
      <c r="P517" s="189" t="str">
        <f t="shared" si="279"/>
        <v>120,833333333333</v>
      </c>
      <c r="Q517" s="160" t="str">
        <f t="shared" si="280"/>
        <v>1+5474,97827226858i</v>
      </c>
      <c r="R517" s="160">
        <f t="shared" si="288"/>
        <v>5474.9783635931426</v>
      </c>
      <c r="S517" s="160">
        <f t="shared" si="289"/>
        <v>1.5706136776702517</v>
      </c>
      <c r="T517" s="160" t="str">
        <f t="shared" si="281"/>
        <v>1+0,368409752900313i</v>
      </c>
      <c r="U517" s="160">
        <f t="shared" si="290"/>
        <v>1.065704342691757</v>
      </c>
      <c r="V517" s="160">
        <f t="shared" si="291"/>
        <v>0.35298043851486333</v>
      </c>
      <c r="W517" s="98" t="str">
        <f t="shared" si="282"/>
        <v>1-3,15358748482669i</v>
      </c>
      <c r="X517" s="160">
        <f t="shared" si="292"/>
        <v>3.308340070859634</v>
      </c>
      <c r="Y517" s="160">
        <f t="shared" si="293"/>
        <v>-1.2637269632504986</v>
      </c>
      <c r="Z517" s="98" t="str">
        <f t="shared" si="283"/>
        <v>0,2107499289079+1,2215010878236i</v>
      </c>
      <c r="AA517" s="160">
        <f t="shared" si="294"/>
        <v>1.2395484823470693</v>
      </c>
      <c r="AB517" s="160">
        <f t="shared" si="295"/>
        <v>1.3999448100728025</v>
      </c>
      <c r="AC517" s="171" t="str">
        <f t="shared" si="296"/>
        <v>-0,0463696429837429+0,0423151841055153i</v>
      </c>
      <c r="AD517" s="190">
        <f t="shared" si="297"/>
        <v>-24.044245766612562</v>
      </c>
      <c r="AE517" s="169">
        <f t="shared" si="298"/>
        <v>137.61760378199972</v>
      </c>
      <c r="AF517" s="98" t="str">
        <f t="shared" si="284"/>
        <v>-0,0000375877424711299</v>
      </c>
      <c r="AG517" s="98" t="str">
        <f t="shared" si="285"/>
        <v>0,00621998466146697i</v>
      </c>
      <c r="AH517" s="98">
        <f t="shared" si="299"/>
        <v>6.2199846614669702E-3</v>
      </c>
      <c r="AI517" s="98">
        <f t="shared" si="300"/>
        <v>1.5707963267948966</v>
      </c>
      <c r="AJ517" s="98" t="str">
        <f t="shared" si="286"/>
        <v>1+5,67343745828715i</v>
      </c>
      <c r="AK517" s="98">
        <f t="shared" si="301"/>
        <v>5.7608933849790827</v>
      </c>
      <c r="AL517" s="98">
        <f t="shared" si="302"/>
        <v>1.396328378102041</v>
      </c>
      <c r="AM517" s="98" t="str">
        <f t="shared" si="287"/>
        <v>1+442,091703480377i</v>
      </c>
      <c r="AN517" s="98">
        <f t="shared" si="303"/>
        <v>442.09283446599949</v>
      </c>
      <c r="AO517" s="98">
        <f t="shared" si="304"/>
        <v>1.5685343565144689</v>
      </c>
      <c r="AP517" s="168" t="str">
        <f t="shared" si="305"/>
        <v>-0,0794657840050425+0,456887215941925i</v>
      </c>
      <c r="AQ517" s="98">
        <f t="shared" si="306"/>
        <v>-6.6743886635477425</v>
      </c>
      <c r="AR517" s="169">
        <f t="shared" si="307"/>
        <v>99.866675769953162</v>
      </c>
      <c r="AS517" s="168" t="str">
        <f t="shared" si="308"/>
        <v>-0,0156484666243018-0,0245483063673258i</v>
      </c>
      <c r="AT517" s="190">
        <f t="shared" si="309"/>
        <v>-30.718634430160307</v>
      </c>
      <c r="AU517" s="169">
        <f t="shared" si="310"/>
        <v>-122.51572044804703</v>
      </c>
      <c r="AV517" s="225"/>
      <c r="AX517">
        <f t="shared" si="311"/>
        <v>0</v>
      </c>
      <c r="AY517">
        <f t="shared" si="312"/>
        <v>0</v>
      </c>
    </row>
    <row r="518" spans="14:51" x14ac:dyDescent="0.25">
      <c r="N518" s="170">
        <v>100</v>
      </c>
      <c r="O518" s="199">
        <f t="shared" si="313"/>
        <v>1000000</v>
      </c>
      <c r="P518" s="189" t="str">
        <f t="shared" si="279"/>
        <v>120,833333333333</v>
      </c>
      <c r="Q518" s="160" t="str">
        <f t="shared" si="280"/>
        <v>1+5602,50689890182i</v>
      </c>
      <c r="R518" s="160">
        <f t="shared" si="288"/>
        <v>5602.506988147582</v>
      </c>
      <c r="S518" s="160">
        <f t="shared" si="289"/>
        <v>1.5706178352718292</v>
      </c>
      <c r="T518" s="160" t="str">
        <f t="shared" si="281"/>
        <v>1+0,376991118430775i</v>
      </c>
      <c r="U518" s="160">
        <f t="shared" si="290"/>
        <v>1.0687012226884025</v>
      </c>
      <c r="V518" s="160">
        <f t="shared" si="291"/>
        <v>0.36051516460515692</v>
      </c>
      <c r="W518" s="98" t="str">
        <f t="shared" si="282"/>
        <v>1-3,22704397376743i</v>
      </c>
      <c r="X518" s="160">
        <f t="shared" si="292"/>
        <v>3.3784334844168065</v>
      </c>
      <c r="Y518" s="160">
        <f t="shared" si="293"/>
        <v>-1.2702991179051597</v>
      </c>
      <c r="Z518" s="98" t="str">
        <f t="shared" si="283"/>
        <v>0,173553719008261+1,24995350323321i</v>
      </c>
      <c r="AA518" s="160">
        <f t="shared" si="294"/>
        <v>1.2619447902450298</v>
      </c>
      <c r="AB518" s="160">
        <f t="shared" si="295"/>
        <v>1.4328302810748756</v>
      </c>
      <c r="AC518" s="171" t="str">
        <f t="shared" si="296"/>
        <v>-0,0442297570757334+0,0430291086261937i</v>
      </c>
      <c r="AD518" s="190">
        <f t="shared" si="297"/>
        <v>-24.193286533787223</v>
      </c>
      <c r="AE518" s="169">
        <f t="shared" si="298"/>
        <v>135.78831815399943</v>
      </c>
      <c r="AF518" s="98" t="str">
        <f t="shared" si="284"/>
        <v>-0,0000375877424711299</v>
      </c>
      <c r="AG518" s="98" t="str">
        <f t="shared" si="285"/>
        <v>0,00636486671617292i</v>
      </c>
      <c r="AH518" s="98">
        <f t="shared" si="299"/>
        <v>6.3648667161729199E-3</v>
      </c>
      <c r="AI518" s="98">
        <f t="shared" si="300"/>
        <v>1.5707963267948966</v>
      </c>
      <c r="AJ518" s="98" t="str">
        <f t="shared" si="286"/>
        <v>1+5,80558879320837i</v>
      </c>
      <c r="AK518" s="98">
        <f t="shared" si="301"/>
        <v>5.8910831971570916</v>
      </c>
      <c r="AL518" s="98">
        <f t="shared" si="302"/>
        <v>1.4002223037790813</v>
      </c>
      <c r="AM518" s="98" t="str">
        <f t="shared" si="287"/>
        <v>1+452,38934211693i</v>
      </c>
      <c r="AN518" s="98">
        <f t="shared" si="303"/>
        <v>452.39044735824018</v>
      </c>
      <c r="AO518" s="98">
        <f t="shared" si="304"/>
        <v>1.5685858450744898</v>
      </c>
      <c r="AP518" s="168" t="str">
        <f t="shared" si="305"/>
        <v>-0,0759922907187116+0,447085494835635i</v>
      </c>
      <c r="AQ518" s="98">
        <f t="shared" si="306"/>
        <v>-6.8684960271770512</v>
      </c>
      <c r="AR518" s="169">
        <f t="shared" si="307"/>
        <v>99.64652034010345</v>
      </c>
      <c r="AS518" s="168" t="str">
        <f t="shared" si="308"/>
        <v>-0,015876569764361-0,0230443633607529i</v>
      </c>
      <c r="AT518" s="190">
        <f t="shared" si="309"/>
        <v>-31.061782560964279</v>
      </c>
      <c r="AU518" s="169">
        <f t="shared" si="310"/>
        <v>-124.56516150589721</v>
      </c>
      <c r="AV518" s="225"/>
      <c r="AX518">
        <f t="shared" si="311"/>
        <v>0</v>
      </c>
      <c r="AY518">
        <f t="shared" si="312"/>
        <v>0</v>
      </c>
    </row>
    <row r="519" spans="14:51" x14ac:dyDescent="0.25">
      <c r="N519" s="170">
        <v>1</v>
      </c>
      <c r="O519" s="199">
        <f>10^(6+(N519/100))</f>
        <v>1023292.9922807553</v>
      </c>
      <c r="P519" s="189" t="str">
        <f t="shared" si="279"/>
        <v>120,833333333333</v>
      </c>
      <c r="Q519" s="160" t="str">
        <f t="shared" si="280"/>
        <v>1+5733,00604885082i</v>
      </c>
      <c r="R519" s="160">
        <f t="shared" si="288"/>
        <v>5733.0061360650989</v>
      </c>
      <c r="S519" s="160">
        <f t="shared" si="289"/>
        <v>1.5706218982348468</v>
      </c>
      <c r="T519" s="160" t="str">
        <f t="shared" si="281"/>
        <v>1+0,385772369642296i</v>
      </c>
      <c r="U519" s="160">
        <f t="shared" si="290"/>
        <v>1.0718303602620296</v>
      </c>
      <c r="V519" s="160">
        <f t="shared" si="291"/>
        <v>0.3681813319392217</v>
      </c>
      <c r="W519" s="98" t="str">
        <f t="shared" si="282"/>
        <v>1-3,30221148413806i</v>
      </c>
      <c r="X519" s="160">
        <f t="shared" si="292"/>
        <v>3.4503044338106301</v>
      </c>
      <c r="Y519" s="160">
        <f t="shared" si="293"/>
        <v>-1.2767476428923341</v>
      </c>
      <c r="Z519" s="98" t="str">
        <f t="shared" si="283"/>
        <v>0,134604505743054+1,27906866053532i</v>
      </c>
      <c r="AA519" s="160">
        <f t="shared" si="294"/>
        <v>1.2861318016945034</v>
      </c>
      <c r="AB519" s="160">
        <f t="shared" si="295"/>
        <v>1.465945911133778</v>
      </c>
      <c r="AC519" s="171" t="str">
        <f t="shared" si="296"/>
        <v>-0,0420690870178545+0,0436240135556004i</v>
      </c>
      <c r="AD519" s="190">
        <f t="shared" si="297"/>
        <v>-24.349953132223146</v>
      </c>
      <c r="AE519" s="169">
        <f t="shared" si="298"/>
        <v>133.96046529250773</v>
      </c>
      <c r="AF519" s="98" t="str">
        <f t="shared" si="284"/>
        <v>-0,0000375877424711299</v>
      </c>
      <c r="AG519" s="98" t="str">
        <f t="shared" si="285"/>
        <v>0,00651312350746077i</v>
      </c>
      <c r="AH519" s="98">
        <f t="shared" si="299"/>
        <v>6.5131235074607696E-3</v>
      </c>
      <c r="AI519" s="98">
        <f t="shared" si="300"/>
        <v>1.5707963267948966</v>
      </c>
      <c r="AJ519" s="98" t="str">
        <f t="shared" si="286"/>
        <v>1+5,94081832815382i</v>
      </c>
      <c r="AK519" s="98">
        <f t="shared" si="301"/>
        <v>6.024393945296767</v>
      </c>
      <c r="AL519" s="98">
        <f t="shared" si="302"/>
        <v>1.4040326469026225</v>
      </c>
      <c r="AM519" s="98" t="str">
        <f t="shared" si="287"/>
        <v>1+462,926843570756i</v>
      </c>
      <c r="AN519" s="98">
        <f t="shared" si="303"/>
        <v>462.92792365376187</v>
      </c>
      <c r="AO519" s="98">
        <f t="shared" si="304"/>
        <v>1.5686361616231208</v>
      </c>
      <c r="AP519" s="168" t="str">
        <f t="shared" si="305"/>
        <v>-0,0726663124066823+0,437468438383212i</v>
      </c>
      <c r="AQ519" s="98">
        <f t="shared" si="306"/>
        <v>-7.0628611271256414</v>
      </c>
      <c r="AR519" s="169">
        <f t="shared" si="307"/>
        <v>99.431086686504102</v>
      </c>
      <c r="AS519" s="168" t="str">
        <f t="shared" si="308"/>
        <v>-0,0160271236662733-0,0215738939993729i</v>
      </c>
      <c r="AT519" s="190">
        <f t="shared" si="309"/>
        <v>-31.412814259348771</v>
      </c>
      <c r="AU519" s="169">
        <f t="shared" si="310"/>
        <v>-126.60844802098818</v>
      </c>
      <c r="AV519" s="225"/>
      <c r="AX519">
        <f t="shared" si="311"/>
        <v>0</v>
      </c>
      <c r="AY519">
        <f t="shared" si="312"/>
        <v>0</v>
      </c>
    </row>
    <row r="520" spans="14:51" x14ac:dyDescent="0.25">
      <c r="N520" s="170">
        <v>2</v>
      </c>
      <c r="O520" s="199">
        <f t="shared" ref="O520:O560" si="314">10^(6+(N520/100))</f>
        <v>1047128.5480509007</v>
      </c>
      <c r="P520" s="189" t="str">
        <f t="shared" si="279"/>
        <v>120,833333333333</v>
      </c>
      <c r="Q520" s="160" t="str">
        <f t="shared" si="280"/>
        <v>1+5866,54491449221i</v>
      </c>
      <c r="R520" s="160">
        <f t="shared" si="288"/>
        <v>5866.5449997212518</v>
      </c>
      <c r="S520" s="160">
        <f t="shared" si="289"/>
        <v>1.5706258687135404</v>
      </c>
      <c r="T520" s="160" t="str">
        <f t="shared" si="281"/>
        <v>1+0,394758162470502i</v>
      </c>
      <c r="U520" s="160">
        <f t="shared" si="290"/>
        <v>1.0750972080872907</v>
      </c>
      <c r="V520" s="160">
        <f t="shared" si="291"/>
        <v>0.37597939987683848</v>
      </c>
      <c r="W520" s="98" t="str">
        <f t="shared" si="282"/>
        <v>1-3,3791298707475i</v>
      </c>
      <c r="X520" s="160">
        <f t="shared" si="292"/>
        <v>3.5239918676662714</v>
      </c>
      <c r="Y520" s="160">
        <f t="shared" si="293"/>
        <v>-1.2830738113026372</v>
      </c>
      <c r="Z520" s="98" t="str">
        <f t="shared" si="283"/>
        <v>0,093819672608934+1,30886199697173i</v>
      </c>
      <c r="AA520" s="160">
        <f t="shared" si="294"/>
        <v>1.3122202018279066</v>
      </c>
      <c r="AB520" s="160">
        <f t="shared" si="295"/>
        <v>1.4992383762020325</v>
      </c>
      <c r="AC520" s="171" t="str">
        <f t="shared" si="296"/>
        <v>-0,0398971749997394+0,0440977146841975i</v>
      </c>
      <c r="AD520" s="190">
        <f t="shared" si="297"/>
        <v>-24.514394761150562</v>
      </c>
      <c r="AE520" s="169">
        <f t="shared" si="298"/>
        <v>132.13705369362077</v>
      </c>
      <c r="AF520" s="98" t="str">
        <f t="shared" si="284"/>
        <v>-0,0000375877424711299</v>
      </c>
      <c r="AG520" s="98" t="str">
        <f t="shared" si="285"/>
        <v>0,00666483364304366i</v>
      </c>
      <c r="AH520" s="98">
        <f t="shared" si="299"/>
        <v>6.6648336430436602E-3</v>
      </c>
      <c r="AI520" s="98">
        <f t="shared" si="300"/>
        <v>1.5707963267948966</v>
      </c>
      <c r="AJ520" s="98" t="str">
        <f t="shared" si="286"/>
        <v>1+6,07919776361286i</v>
      </c>
      <c r="AK520" s="98">
        <f t="shared" si="301"/>
        <v>6.160896480960834</v>
      </c>
      <c r="AL520" s="98">
        <f t="shared" si="302"/>
        <v>1.4077609849746422</v>
      </c>
      <c r="AM520" s="98" t="str">
        <f t="shared" si="287"/>
        <v>1+473,709794964603i</v>
      </c>
      <c r="AN520" s="98">
        <f t="shared" si="303"/>
        <v>473.71085046197351</v>
      </c>
      <c r="AO520" s="98">
        <f t="shared" si="304"/>
        <v>1.5686853328378423</v>
      </c>
      <c r="AP520" s="168" t="str">
        <f t="shared" si="305"/>
        <v>-0,0694819542975955+0,428034253206869i</v>
      </c>
      <c r="AQ520" s="98">
        <f t="shared" si="306"/>
        <v>-7.257473003425039</v>
      </c>
      <c r="AR520" s="169">
        <f t="shared" si="307"/>
        <v>99.220285953456468</v>
      </c>
      <c r="AS520" s="168" t="str">
        <f t="shared" si="308"/>
        <v>-0,016103198683045-0,020141352902393i</v>
      </c>
      <c r="AT520" s="190">
        <f t="shared" si="309"/>
        <v>-31.77186776457561</v>
      </c>
      <c r="AU520" s="169">
        <f t="shared" si="310"/>
        <v>-128.64266035292283</v>
      </c>
      <c r="AV520" s="225"/>
      <c r="AX520">
        <f t="shared" si="311"/>
        <v>0</v>
      </c>
      <c r="AY520">
        <f t="shared" si="312"/>
        <v>0</v>
      </c>
    </row>
    <row r="521" spans="14:51" x14ac:dyDescent="0.25">
      <c r="N521" s="170">
        <v>3</v>
      </c>
      <c r="O521" s="199">
        <f t="shared" si="314"/>
        <v>1071519.3052376076</v>
      </c>
      <c r="P521" s="189" t="str">
        <f t="shared" si="279"/>
        <v>120,833333333333</v>
      </c>
      <c r="Q521" s="160" t="str">
        <f t="shared" si="280"/>
        <v>1+6003,19429990017i</v>
      </c>
      <c r="R521" s="160">
        <f t="shared" si="288"/>
        <v>6003.1943831891622</v>
      </c>
      <c r="S521" s="160">
        <f t="shared" si="289"/>
        <v>1.57062974881311</v>
      </c>
      <c r="T521" s="160" t="str">
        <f t="shared" si="281"/>
        <v>1+0,403953261301692i</v>
      </c>
      <c r="U521" s="160">
        <f t="shared" si="290"/>
        <v>1.0785074118040512</v>
      </c>
      <c r="V521" s="160">
        <f t="shared" si="291"/>
        <v>0.38390970843596284</v>
      </c>
      <c r="W521" s="98" t="str">
        <f t="shared" si="282"/>
        <v>1-3,45783991674248i</v>
      </c>
      <c r="X521" s="160">
        <f t="shared" si="292"/>
        <v>3.5995356491938848</v>
      </c>
      <c r="Y521" s="160">
        <f t="shared" si="293"/>
        <v>-1.2892789511896117</v>
      </c>
      <c r="Z521" s="98" t="str">
        <f t="shared" si="283"/>
        <v>0,051112709506706+1,33934930936376i</v>
      </c>
      <c r="AA521" s="160">
        <f t="shared" si="294"/>
        <v>1.3403242449371338</v>
      </c>
      <c r="AB521" s="160">
        <f t="shared" si="295"/>
        <v>1.5326524923995584</v>
      </c>
      <c r="AC521" s="171" t="str">
        <f t="shared" si="296"/>
        <v>-0,037723896698879+0,0444491589374595i</v>
      </c>
      <c r="AD521" s="190">
        <f t="shared" si="297"/>
        <v>-24.686718204894611</v>
      </c>
      <c r="AE521" s="169">
        <f t="shared" si="298"/>
        <v>130.32118842987569</v>
      </c>
      <c r="AF521" s="98" t="str">
        <f t="shared" si="284"/>
        <v>-0,0000375877424711299</v>
      </c>
      <c r="AG521" s="98" t="str">
        <f t="shared" si="285"/>
        <v>0,00682007756164358i</v>
      </c>
      <c r="AH521" s="98">
        <f t="shared" si="299"/>
        <v>6.8200775616435796E-3</v>
      </c>
      <c r="AI521" s="98">
        <f t="shared" si="300"/>
        <v>1.5707963267948966</v>
      </c>
      <c r="AJ521" s="98" t="str">
        <f t="shared" si="286"/>
        <v>1+6,22080047019387i</v>
      </c>
      <c r="AK521" s="98">
        <f t="shared" si="301"/>
        <v>6.3006633372974523</v>
      </c>
      <c r="AL521" s="98">
        <f t="shared" si="302"/>
        <v>1.4114088799937372</v>
      </c>
      <c r="AM521" s="98" t="str">
        <f t="shared" si="287"/>
        <v>1+484,743913562031i</v>
      </c>
      <c r="AN521" s="98">
        <f t="shared" si="303"/>
        <v>484.74494503339974</v>
      </c>
      <c r="AO521" s="98">
        <f t="shared" si="304"/>
        <v>1.5687333847889315</v>
      </c>
      <c r="AP521" s="168" t="str">
        <f t="shared" si="305"/>
        <v>-0,0664335253320913+0,418781042133187i</v>
      </c>
      <c r="AQ521" s="98">
        <f t="shared" si="306"/>
        <v>-7.4523211352957279</v>
      </c>
      <c r="AR521" s="169">
        <f t="shared" si="307"/>
        <v>99.014030138750286</v>
      </c>
      <c r="AS521" s="168" t="str">
        <f t="shared" si="308"/>
        <v>-0,0161083336548028-0,0187509670991431i</v>
      </c>
      <c r="AT521" s="190">
        <f t="shared" si="309"/>
        <v>-32.139039340190337</v>
      </c>
      <c r="AU521" s="169">
        <f t="shared" si="310"/>
        <v>-130.66478143137405</v>
      </c>
      <c r="AV521" s="225"/>
      <c r="AX521">
        <f t="shared" si="311"/>
        <v>0</v>
      </c>
      <c r="AY521">
        <f t="shared" si="312"/>
        <v>0</v>
      </c>
    </row>
    <row r="522" spans="14:51" x14ac:dyDescent="0.25">
      <c r="N522" s="170">
        <v>4</v>
      </c>
      <c r="O522" s="199">
        <f t="shared" si="314"/>
        <v>1096478.196143186</v>
      </c>
      <c r="P522" s="189" t="str">
        <f t="shared" si="279"/>
        <v>120,833333333333</v>
      </c>
      <c r="Q522" s="160" t="str">
        <f t="shared" si="280"/>
        <v>1+6143,02665838762i</v>
      </c>
      <c r="R522" s="160">
        <f t="shared" si="288"/>
        <v>6143.026739780722</v>
      </c>
      <c r="S522" s="160">
        <f t="shared" si="289"/>
        <v>1.5706335405908352</v>
      </c>
      <c r="T522" s="160" t="str">
        <f t="shared" si="281"/>
        <v>1+0,413362541498978i</v>
      </c>
      <c r="U522" s="160">
        <f t="shared" si="290"/>
        <v>1.0820668143485845</v>
      </c>
      <c r="V522" s="160">
        <f t="shared" si="291"/>
        <v>0.39197247145054442</v>
      </c>
      <c r="W522" s="98" t="str">
        <f t="shared" si="282"/>
        <v>1-3,53838335523125i</v>
      </c>
      <c r="X522" s="160">
        <f t="shared" si="292"/>
        <v>3.6769765798244567</v>
      </c>
      <c r="Y522" s="160">
        <f t="shared" si="293"/>
        <v>-1.2953644405009288</v>
      </c>
      <c r="Z522" s="98" t="str">
        <f t="shared" si="283"/>
        <v>0,00639302924180396+1,370546762488i</v>
      </c>
      <c r="AA522" s="160">
        <f t="shared" si="294"/>
        <v>1.3705616728149173</v>
      </c>
      <c r="AB522" s="160">
        <f t="shared" si="295"/>
        <v>1.5661317775433417</v>
      </c>
      <c r="AC522" s="171" t="str">
        <f t="shared" si="296"/>
        <v>-0,0355592891119379+0,0446784757598707i</v>
      </c>
      <c r="AD522" s="190">
        <f t="shared" si="297"/>
        <v>-24.866985814097969</v>
      </c>
      <c r="AE522" s="169">
        <f t="shared" si="298"/>
        <v>128.51603887530052</v>
      </c>
      <c r="AF522" s="98" t="str">
        <f t="shared" si="284"/>
        <v>-0,0000375877424711299</v>
      </c>
      <c r="AG522" s="98" t="str">
        <f t="shared" si="285"/>
        <v>0,00697893757564109i</v>
      </c>
      <c r="AH522" s="98">
        <f t="shared" si="299"/>
        <v>6.9789375756410896E-3</v>
      </c>
      <c r="AI522" s="98">
        <f t="shared" si="300"/>
        <v>1.5707963267948966</v>
      </c>
      <c r="AJ522" s="98" t="str">
        <f t="shared" si="286"/>
        <v>1+6,36570152752621i</v>
      </c>
      <c r="AK522" s="98">
        <f t="shared" si="301"/>
        <v>6.4437687681627382</v>
      </c>
      <c r="AL522" s="98">
        <f t="shared" si="302"/>
        <v>1.4149778775805468</v>
      </c>
      <c r="AM522" s="98" t="str">
        <f t="shared" si="287"/>
        <v>1+496,035049798774i</v>
      </c>
      <c r="AN522" s="98">
        <f t="shared" si="303"/>
        <v>496.03605779103623</v>
      </c>
      <c r="AO522" s="98">
        <f t="shared" si="304"/>
        <v>1.5687803429532809</v>
      </c>
      <c r="AP522" s="168" t="str">
        <f t="shared" si="305"/>
        <v>-0,063515533932103+0,409706814548675i</v>
      </c>
      <c r="AQ522" s="98">
        <f t="shared" si="306"/>
        <v>-7.6473954258619141</v>
      </c>
      <c r="AR522" s="169">
        <f t="shared" si="307"/>
        <v>98.812232144564675</v>
      </c>
      <c r="AS522" s="168" t="str">
        <f t="shared" si="308"/>
        <v>-0,0160465087482761-0,0174066603128282i</v>
      </c>
      <c r="AT522" s="190">
        <f t="shared" si="309"/>
        <v>-32.514381239959867</v>
      </c>
      <c r="AU522" s="169">
        <f t="shared" si="310"/>
        <v>-132.67172898013479</v>
      </c>
      <c r="AV522" s="225"/>
      <c r="AX522">
        <f t="shared" si="311"/>
        <v>0</v>
      </c>
      <c r="AY522">
        <f t="shared" si="312"/>
        <v>0</v>
      </c>
    </row>
    <row r="523" spans="14:51" x14ac:dyDescent="0.25">
      <c r="N523" s="170">
        <v>5</v>
      </c>
      <c r="O523" s="199">
        <f t="shared" si="314"/>
        <v>1122018.4543019643</v>
      </c>
      <c r="P523" s="189" t="str">
        <f t="shared" si="279"/>
        <v>120,833333333333</v>
      </c>
      <c r="Q523" s="160" t="str">
        <f t="shared" si="280"/>
        <v>1+6286,11613092191i</v>
      </c>
      <c r="R523" s="160">
        <f t="shared" si="288"/>
        <v>6286.1162104622799</v>
      </c>
      <c r="S523" s="160">
        <f t="shared" si="289"/>
        <v>1.5706372460571665</v>
      </c>
      <c r="T523" s="160" t="str">
        <f t="shared" si="281"/>
        <v>1+0,422990991987266i</v>
      </c>
      <c r="U523" s="160">
        <f t="shared" si="290"/>
        <v>1.0857814601946247</v>
      </c>
      <c r="V523" s="160">
        <f t="shared" si="291"/>
        <v>0.40016776969670215</v>
      </c>
      <c r="W523" s="98" t="str">
        <f t="shared" si="282"/>
        <v>1-3,620802891411i</v>
      </c>
      <c r="X523" s="160">
        <f t="shared" si="292"/>
        <v>3.7563564232445064</v>
      </c>
      <c r="Y523" s="160">
        <f t="shared" si="293"/>
        <v>-1.3013317022216973</v>
      </c>
      <c r="Z523" s="98" t="str">
        <f t="shared" si="283"/>
        <v>-0,0404342246232801+1,40247089764705i</v>
      </c>
      <c r="AA523" s="160">
        <f t="shared" si="294"/>
        <v>1.4030536501744357</v>
      </c>
      <c r="AB523" s="160">
        <f t="shared" si="295"/>
        <v>1.5996190475875718</v>
      </c>
      <c r="AC523" s="171" t="str">
        <f t="shared" si="296"/>
        <v>-0,0334133698788585+0,0447869969183898i</v>
      </c>
      <c r="AD523" s="190">
        <f t="shared" si="297"/>
        <v>-25.055214235153475</v>
      </c>
      <c r="AE523" s="169">
        <f t="shared" si="298"/>
        <v>126.72480441627511</v>
      </c>
      <c r="AF523" s="98" t="str">
        <f t="shared" si="284"/>
        <v>-0,0000375877424711299</v>
      </c>
      <c r="AG523" s="98" t="str">
        <f t="shared" si="285"/>
        <v>0,00714149791471836i</v>
      </c>
      <c r="AH523" s="98">
        <f t="shared" si="299"/>
        <v>7.1414979147183602E-3</v>
      </c>
      <c r="AI523" s="98">
        <f t="shared" si="300"/>
        <v>1.5707963267948966</v>
      </c>
      <c r="AJ523" s="98" t="str">
        <f t="shared" si="286"/>
        <v>1+6,51397776406846i</v>
      </c>
      <c r="AK523" s="98">
        <f t="shared" si="301"/>
        <v>6.5902887881168253</v>
      </c>
      <c r="AL523" s="98">
        <f t="shared" si="302"/>
        <v>1.4184695061912616</v>
      </c>
      <c r="AM523" s="98" t="str">
        <f t="shared" si="287"/>
        <v>1+507,58919038472i</v>
      </c>
      <c r="AN523" s="98">
        <f t="shared" si="303"/>
        <v>507.59017543232204</v>
      </c>
      <c r="AO523" s="98">
        <f t="shared" si="304"/>
        <v>1.5688262322279021</v>
      </c>
      <c r="AP523" s="168" t="str">
        <f t="shared" si="305"/>
        <v>-0,0607226835846023+0,400809496151428i</v>
      </c>
      <c r="AQ523" s="98">
        <f t="shared" si="306"/>
        <v>-7.8426861871940732</v>
      </c>
      <c r="AR523" s="169">
        <f t="shared" si="307"/>
        <v>98.614805823304295</v>
      </c>
      <c r="AS523" s="168" t="str">
        <f t="shared" si="308"/>
        <v>-0,0159221041823462-0,0161119825884465i</v>
      </c>
      <c r="AT523" s="190">
        <f t="shared" si="309"/>
        <v>-32.897900422347547</v>
      </c>
      <c r="AU523" s="169">
        <f t="shared" si="310"/>
        <v>-134.66038976042068</v>
      </c>
      <c r="AV523" s="225"/>
      <c r="AX523">
        <f t="shared" si="311"/>
        <v>0</v>
      </c>
      <c r="AY523">
        <f t="shared" si="312"/>
        <v>0</v>
      </c>
    </row>
    <row r="524" spans="14:51" x14ac:dyDescent="0.25">
      <c r="N524" s="170">
        <v>6</v>
      </c>
      <c r="O524" s="199">
        <f t="shared" si="314"/>
        <v>1148153.6214968837</v>
      </c>
      <c r="P524" s="189" t="str">
        <f t="shared" si="279"/>
        <v>120,833333333333</v>
      </c>
      <c r="Q524" s="160" t="str">
        <f t="shared" si="280"/>
        <v>1+6432,53858543539i</v>
      </c>
      <c r="R524" s="160">
        <f t="shared" si="288"/>
        <v>6432.5386631651991</v>
      </c>
      <c r="S524" s="160">
        <f t="shared" si="289"/>
        <v>1.5706408671767906</v>
      </c>
      <c r="T524" s="160" t="str">
        <f t="shared" si="281"/>
        <v>1+0,432843717898454i</v>
      </c>
      <c r="U524" s="160">
        <f t="shared" si="290"/>
        <v>1.0896575994890121</v>
      </c>
      <c r="V524" s="160">
        <f t="shared" si="291"/>
        <v>0.40849554401898908</v>
      </c>
      <c r="W524" s="98" t="str">
        <f t="shared" si="282"/>
        <v>1-3,70514222521077i</v>
      </c>
      <c r="X524" s="160">
        <f t="shared" si="292"/>
        <v>3.8377179298431789</v>
      </c>
      <c r="Y524" s="160">
        <f t="shared" si="293"/>
        <v>-1.3071821997311754</v>
      </c>
      <c r="Z524" s="98" t="str">
        <f t="shared" si="283"/>
        <v>-0,0894683789722399+1,43513864143992i</v>
      </c>
      <c r="AA524" s="160">
        <f t="shared" si="294"/>
        <v>1.4379247236868626</v>
      </c>
      <c r="AB524" s="160">
        <f t="shared" si="295"/>
        <v>1.6330570321840061</v>
      </c>
      <c r="AC524" s="171" t="str">
        <f t="shared" si="296"/>
        <v>-0,0312959548934198+0,0447772433009864i</v>
      </c>
      <c r="AD524" s="190">
        <f t="shared" si="297"/>
        <v>-25.251373937405091</v>
      </c>
      <c r="AE524" s="169">
        <f t="shared" si="298"/>
        <v>124.95067905466409</v>
      </c>
      <c r="AF524" s="98" t="str">
        <f t="shared" si="284"/>
        <v>-0,0000375877424711299</v>
      </c>
      <c r="AG524" s="98" t="str">
        <f t="shared" si="285"/>
        <v>0,00730784477051892i</v>
      </c>
      <c r="AH524" s="98">
        <f t="shared" si="299"/>
        <v>7.3078447705189203E-3</v>
      </c>
      <c r="AI524" s="98">
        <f t="shared" si="300"/>
        <v>1.5707963267948966</v>
      </c>
      <c r="AJ524" s="98" t="str">
        <f t="shared" si="286"/>
        <v>1+6,66570779784391i</v>
      </c>
      <c r="AK524" s="98">
        <f t="shared" si="301"/>
        <v>6.7403012133165907</v>
      </c>
      <c r="AL524" s="98">
        <f t="shared" si="302"/>
        <v>1.421885276414028</v>
      </c>
      <c r="AM524" s="98" t="str">
        <f t="shared" si="287"/>
        <v>1+519,412461478146i</v>
      </c>
      <c r="AN524" s="98">
        <f t="shared" si="303"/>
        <v>519.41342410336927</v>
      </c>
      <c r="AO524" s="98">
        <f t="shared" si="304"/>
        <v>1.568871076943122</v>
      </c>
      <c r="AP524" s="168" t="str">
        <f t="shared" si="305"/>
        <v>-0,0580498682742714+0,392086938121349i</v>
      </c>
      <c r="AQ524" s="98">
        <f t="shared" si="306"/>
        <v>-8.0381841256921742</v>
      </c>
      <c r="AR524" s="169">
        <f t="shared" si="307"/>
        <v>98.421666018668901</v>
      </c>
      <c r="AS524" s="168" t="str">
        <f t="shared" si="308"/>
        <v>-0,0157398461643179-0,0148700482050521i</v>
      </c>
      <c r="AT524" s="190">
        <f t="shared" si="309"/>
        <v>-33.289558063097253</v>
      </c>
      <c r="AU524" s="169">
        <f t="shared" si="310"/>
        <v>-136.62765492666699</v>
      </c>
      <c r="AV524" s="225"/>
      <c r="AX524">
        <f t="shared" si="311"/>
        <v>0</v>
      </c>
      <c r="AY524">
        <f t="shared" si="312"/>
        <v>0</v>
      </c>
    </row>
    <row r="525" spans="14:51" x14ac:dyDescent="0.25">
      <c r="N525" s="170">
        <v>7</v>
      </c>
      <c r="O525" s="199">
        <f t="shared" si="314"/>
        <v>1174897.5549395324</v>
      </c>
      <c r="P525" s="189" t="str">
        <f t="shared" si="279"/>
        <v>120,833333333333</v>
      </c>
      <c r="Q525" s="160" t="str">
        <f t="shared" si="280"/>
        <v>1+6582,37165705161i</v>
      </c>
      <c r="R525" s="160">
        <f t="shared" si="288"/>
        <v>6582.3717330120726</v>
      </c>
      <c r="S525" s="160">
        <f t="shared" si="289"/>
        <v>1.5706444058696727</v>
      </c>
      <c r="T525" s="160" t="str">
        <f t="shared" si="281"/>
        <v>1+0,442925943278236i</v>
      </c>
      <c r="U525" s="160">
        <f t="shared" si="290"/>
        <v>1.093701692066404</v>
      </c>
      <c r="V525" s="160">
        <f t="shared" si="291"/>
        <v>0.4169555884914008</v>
      </c>
      <c r="W525" s="98" t="str">
        <f t="shared" si="282"/>
        <v>1-3,79144607446171i</v>
      </c>
      <c r="X525" s="160">
        <f t="shared" si="292"/>
        <v>3.9211048615857123</v>
      </c>
      <c r="Y525" s="160">
        <f t="shared" si="293"/>
        <v>-1.3129174323729373</v>
      </c>
      <c r="Z525" s="98" t="str">
        <f t="shared" si="283"/>
        <v>-0,14081344182057+1,4685673147368i</v>
      </c>
      <c r="AA525" s="160">
        <f t="shared" si="294"/>
        <v>1.4753028107173829</v>
      </c>
      <c r="AB525" s="160">
        <f t="shared" si="295"/>
        <v>1.6663889926052953</v>
      </c>
      <c r="AC525" s="171" t="str">
        <f t="shared" si="296"/>
        <v>-0,0292164811950724+0,0446528789541729i</v>
      </c>
      <c r="AD525" s="190">
        <f t="shared" si="297"/>
        <v>-25.455389557927433</v>
      </c>
      <c r="AE525" s="169">
        <f t="shared" si="298"/>
        <v>123.19681586532346</v>
      </c>
      <c r="AF525" s="98" t="str">
        <f t="shared" si="284"/>
        <v>-0,0000375877424711299</v>
      </c>
      <c r="AG525" s="98" t="str">
        <f t="shared" si="285"/>
        <v>0,00747806634234758i</v>
      </c>
      <c r="AH525" s="98">
        <f t="shared" si="299"/>
        <v>7.4780663423475802E-3</v>
      </c>
      <c r="AI525" s="98">
        <f t="shared" si="300"/>
        <v>1.5707963267948966</v>
      </c>
      <c r="AJ525" s="98" t="str">
        <f t="shared" si="286"/>
        <v>1+6,82097207812486i</v>
      </c>
      <c r="AK525" s="98">
        <f t="shared" si="301"/>
        <v>6.8938857033286363</v>
      </c>
      <c r="AL525" s="98">
        <f t="shared" si="302"/>
        <v>1.4252266803432638</v>
      </c>
      <c r="AM525" s="98" t="str">
        <f t="shared" si="287"/>
        <v>1+531,511131933884i</v>
      </c>
      <c r="AN525" s="98">
        <f t="shared" si="303"/>
        <v>531.51207264712127</v>
      </c>
      <c r="AO525" s="98">
        <f t="shared" si="304"/>
        <v>1.5689149008754806</v>
      </c>
      <c r="AP525" s="168" t="str">
        <f t="shared" si="305"/>
        <v>-0,0554921677965159+0,383536925731731i</v>
      </c>
      <c r="AQ525" s="98">
        <f t="shared" si="306"/>
        <v>-8.2338803278201116</v>
      </c>
      <c r="AR525" s="169">
        <f t="shared" si="307"/>
        <v>98.232728602240982</v>
      </c>
      <c r="AS525" s="168" t="str">
        <f t="shared" si="308"/>
        <v>-0,0155047420422539-0,0136834844297795i</v>
      </c>
      <c r="AT525" s="190">
        <f t="shared" si="309"/>
        <v>-33.689269885747535</v>
      </c>
      <c r="AU525" s="169">
        <f t="shared" si="310"/>
        <v>-138.57045553243555</v>
      </c>
      <c r="AV525" s="225"/>
      <c r="AX525">
        <f t="shared" si="311"/>
        <v>0</v>
      </c>
      <c r="AY525">
        <f t="shared" si="312"/>
        <v>0</v>
      </c>
    </row>
    <row r="526" spans="14:51" x14ac:dyDescent="0.25">
      <c r="N526" s="170">
        <v>8</v>
      </c>
      <c r="O526" s="199">
        <f t="shared" si="314"/>
        <v>1202264.4346174158</v>
      </c>
      <c r="P526" s="189" t="str">
        <f t="shared" si="279"/>
        <v>120,833333333333</v>
      </c>
      <c r="Q526" s="160" t="str">
        <f t="shared" si="280"/>
        <v>1+6735,69478924836i</v>
      </c>
      <c r="R526" s="160">
        <f t="shared" si="288"/>
        <v>6735.6948634797527</v>
      </c>
      <c r="S526" s="160">
        <f t="shared" si="289"/>
        <v>1.5706478640120745</v>
      </c>
      <c r="T526" s="160" t="str">
        <f t="shared" si="281"/>
        <v>1+0,453243013855962i</v>
      </c>
      <c r="U526" s="160">
        <f t="shared" si="290"/>
        <v>1.0979204113273584</v>
      </c>
      <c r="V526" s="160">
        <f t="shared" si="291"/>
        <v>0.42554754365071867</v>
      </c>
      <c r="W526" s="98" t="str">
        <f t="shared" si="282"/>
        <v>1-3,87976019860704i</v>
      </c>
      <c r="X526" s="160">
        <f t="shared" si="292"/>
        <v>4.0065620173279903</v>
      </c>
      <c r="Y526" s="160">
        <f t="shared" si="293"/>
        <v>-1.3185389312374367</v>
      </c>
      <c r="Z526" s="98" t="str">
        <f t="shared" si="283"/>
        <v>-0,19457832293053+1,50277464186273i</v>
      </c>
      <c r="AA526" s="160">
        <f t="shared" si="294"/>
        <v>1.5153192231276265</v>
      </c>
      <c r="AB526" s="160">
        <f t="shared" si="295"/>
        <v>1.699559325153869</v>
      </c>
      <c r="AC526" s="171" t="str">
        <f t="shared" si="296"/>
        <v>-0,0271838418817589+0,0444186342732652i</v>
      </c>
      <c r="AD526" s="190">
        <f t="shared" si="297"/>
        <v>-25.667141052651964</v>
      </c>
      <c r="AE526" s="169">
        <f t="shared" si="298"/>
        <v>121.46629227720132</v>
      </c>
      <c r="AF526" s="98" t="str">
        <f t="shared" si="284"/>
        <v>-0,0000375877424711299</v>
      </c>
      <c r="AG526" s="98" t="str">
        <f t="shared" si="285"/>
        <v>0,00765225288393485i</v>
      </c>
      <c r="AH526" s="98">
        <f t="shared" si="299"/>
        <v>7.6522528839348498E-3</v>
      </c>
      <c r="AI526" s="98">
        <f t="shared" si="300"/>
        <v>1.5707963267948966</v>
      </c>
      <c r="AJ526" s="98" t="str">
        <f t="shared" si="286"/>
        <v>1+6,97985292808787i</v>
      </c>
      <c r="AK526" s="98">
        <f t="shared" si="301"/>
        <v>7.0511238038866404</v>
      </c>
      <c r="AL526" s="98">
        <f t="shared" si="302"/>
        <v>1.4284951910271044</v>
      </c>
      <c r="AM526" s="98" t="str">
        <f t="shared" si="287"/>
        <v>1+543,891616627155i</v>
      </c>
      <c r="AN526" s="98">
        <f t="shared" si="303"/>
        <v>543.89253592718126</v>
      </c>
      <c r="AO526" s="98">
        <f t="shared" si="304"/>
        <v>1.5689577272603332</v>
      </c>
      <c r="AP526" s="168" t="str">
        <f t="shared" si="305"/>
        <v>-0,053044842979394+0,375157186425194i</v>
      </c>
      <c r="AQ526" s="98">
        <f t="shared" si="306"/>
        <v>-8.4297662461987848</v>
      </c>
      <c r="AR526" s="169">
        <f t="shared" si="307"/>
        <v>98.047910505867435</v>
      </c>
      <c r="AS526" s="168" t="str">
        <f t="shared" si="308"/>
        <v>-0,0152220072346133-0,0125543931169725i</v>
      </c>
      <c r="AT526" s="190">
        <f t="shared" si="309"/>
        <v>-34.096907298850745</v>
      </c>
      <c r="AU526" s="169">
        <f t="shared" si="310"/>
        <v>-140.48579721693125</v>
      </c>
      <c r="AV526" s="225"/>
      <c r="AX526">
        <f t="shared" si="311"/>
        <v>0</v>
      </c>
      <c r="AY526">
        <f t="shared" si="312"/>
        <v>0</v>
      </c>
    </row>
    <row r="527" spans="14:51" x14ac:dyDescent="0.25">
      <c r="N527" s="170">
        <v>9</v>
      </c>
      <c r="O527" s="199">
        <f t="shared" si="314"/>
        <v>1230268.770812382</v>
      </c>
      <c r="P527" s="189" t="str">
        <f t="shared" si="279"/>
        <v>120,833333333333</v>
      </c>
      <c r="Q527" s="160" t="str">
        <f t="shared" si="280"/>
        <v>1+6892,58927597983i</v>
      </c>
      <c r="R527" s="160">
        <f t="shared" si="288"/>
        <v>6892.5893485215083</v>
      </c>
      <c r="S527" s="160">
        <f t="shared" si="289"/>
        <v>1.5706512434375481</v>
      </c>
      <c r="T527" s="160" t="str">
        <f t="shared" si="281"/>
        <v>1+0,463800399879014i</v>
      </c>
      <c r="U527" s="160">
        <f t="shared" si="290"/>
        <v>1.1023206479640728</v>
      </c>
      <c r="V527" s="160">
        <f t="shared" si="291"/>
        <v>0.4342708898426143</v>
      </c>
      <c r="W527" s="98" t="str">
        <f t="shared" si="282"/>
        <v>1-3,97013142296436i</v>
      </c>
      <c r="X527" s="160">
        <f t="shared" si="292"/>
        <v>4.0941352585874604</v>
      </c>
      <c r="Y527" s="160">
        <f t="shared" si="293"/>
        <v>-1.3240482551549357</v>
      </c>
      <c r="Z527" s="98" t="str">
        <f t="shared" si="283"/>
        <v>-0,25087706482332+1,53777875999535i</v>
      </c>
      <c r="AA527" s="160">
        <f t="shared" si="294"/>
        <v>1.5581087305920602</v>
      </c>
      <c r="AB527" s="160">
        <f t="shared" si="295"/>
        <v>1.7325141339149213</v>
      </c>
      <c r="AC527" s="171" t="str">
        <f t="shared" si="296"/>
        <v>-0,0252062390916214+0,0440802017946664i</v>
      </c>
      <c r="AD527" s="190">
        <f t="shared" si="297"/>
        <v>-25.886465612298039</v>
      </c>
      <c r="AE527" s="169">
        <f t="shared" si="298"/>
        <v>119.76207710529938</v>
      </c>
      <c r="AF527" s="98" t="str">
        <f t="shared" si="284"/>
        <v>-0,0000375877424711299</v>
      </c>
      <c r="AG527" s="98" t="str">
        <f t="shared" si="285"/>
        <v>0,0078304967512907i</v>
      </c>
      <c r="AH527" s="98">
        <f t="shared" si="299"/>
        <v>7.8304967512907008E-3</v>
      </c>
      <c r="AI527" s="98">
        <f t="shared" si="300"/>
        <v>1.5707963267948966</v>
      </c>
      <c r="AJ527" s="98" t="str">
        <f t="shared" si="286"/>
        <v>1+7,1424345884626i</v>
      </c>
      <c r="AK527" s="98">
        <f t="shared" si="301"/>
        <v>7.2120989906175659</v>
      </c>
      <c r="AL527" s="98">
        <f t="shared" si="302"/>
        <v>1.4316922619833925</v>
      </c>
      <c r="AM527" s="98" t="str">
        <f t="shared" si="287"/>
        <v>1+556,560479854818i</v>
      </c>
      <c r="AN527" s="98">
        <f t="shared" si="303"/>
        <v>556.56137822905509</v>
      </c>
      <c r="AO527" s="98">
        <f t="shared" si="304"/>
        <v>1.5689995788041671</v>
      </c>
      <c r="AP527" s="168" t="str">
        <f t="shared" si="305"/>
        <v>-0,0507033308403169+0,366945397376937i</v>
      </c>
      <c r="AQ527" s="98">
        <f t="shared" si="306"/>
        <v>-8.625833686063709</v>
      </c>
      <c r="AR527" s="169">
        <f t="shared" si="307"/>
        <v>97.867129750096012</v>
      </c>
      <c r="AS527" s="168" t="str">
        <f t="shared" si="308"/>
        <v>-0,0148969868840968-0,011484326474956i</v>
      </c>
      <c r="AT527" s="190">
        <f t="shared" si="309"/>
        <v>-34.512299298361754</v>
      </c>
      <c r="AU527" s="169">
        <f t="shared" si="310"/>
        <v>-142.37079314460453</v>
      </c>
      <c r="AV527" s="225"/>
      <c r="AX527">
        <f t="shared" si="311"/>
        <v>0</v>
      </c>
      <c r="AY527">
        <f t="shared" si="312"/>
        <v>0</v>
      </c>
    </row>
    <row r="528" spans="14:51" x14ac:dyDescent="0.25">
      <c r="N528" s="170">
        <v>10</v>
      </c>
      <c r="O528" s="199">
        <f t="shared" si="314"/>
        <v>1258925.4117941677</v>
      </c>
      <c r="P528" s="189" t="str">
        <f t="shared" si="279"/>
        <v>120,833333333333</v>
      </c>
      <c r="Q528" s="160" t="str">
        <f t="shared" si="280"/>
        <v>1+7053,13830477963i</v>
      </c>
      <c r="R528" s="160">
        <f t="shared" si="288"/>
        <v>7053.1383756700588</v>
      </c>
      <c r="S528" s="160">
        <f t="shared" si="289"/>
        <v>1.5706545459379095</v>
      </c>
      <c r="T528" s="160" t="str">
        <f t="shared" si="281"/>
        <v>1+0,474603699013206i</v>
      </c>
      <c r="U528" s="160">
        <f t="shared" si="290"/>
        <v>1.1069095135181637</v>
      </c>
      <c r="V528" s="160">
        <f t="shared" si="291"/>
        <v>0.44312494072371028</v>
      </c>
      <c r="W528" s="98" t="str">
        <f t="shared" si="282"/>
        <v>1-4,06260766355305i</v>
      </c>
      <c r="X528" s="160">
        <f t="shared" si="292"/>
        <v>4.1838715357859604</v>
      </c>
      <c r="Y528" s="160">
        <f t="shared" si="293"/>
        <v>-1.3294469868958794</v>
      </c>
      <c r="Z528" s="98" t="str">
        <f t="shared" si="283"/>
        <v>-0,30982908467861+1,57359822878143i</v>
      </c>
      <c r="AA528" s="160">
        <f t="shared" si="294"/>
        <v>1.6038096668048984</v>
      </c>
      <c r="AB528" s="160">
        <f t="shared" si="295"/>
        <v>1.765201758245228</v>
      </c>
      <c r="AC528" s="171" t="str">
        <f t="shared" si="296"/>
        <v>-0,0232910600354406+0,0436441093192937i</v>
      </c>
      <c r="AD528" s="190">
        <f t="shared" si="297"/>
        <v>-26.113160273927033</v>
      </c>
      <c r="AE528" s="169">
        <f t="shared" si="298"/>
        <v>118.08700017313274</v>
      </c>
      <c r="AF528" s="98" t="str">
        <f t="shared" si="284"/>
        <v>-0,0000375877424711299</v>
      </c>
      <c r="AG528" s="98" t="str">
        <f t="shared" si="285"/>
        <v>0,00801289245167299i</v>
      </c>
      <c r="AH528" s="98">
        <f t="shared" si="299"/>
        <v>8.0128924516729896E-3</v>
      </c>
      <c r="AI528" s="98">
        <f t="shared" si="300"/>
        <v>1.5707963267948966</v>
      </c>
      <c r="AJ528" s="98" t="str">
        <f t="shared" si="286"/>
        <v>1+7,30880326219745i</v>
      </c>
      <c r="AK528" s="98">
        <f t="shared" si="301"/>
        <v>7.3768967137616936</v>
      </c>
      <c r="AL528" s="98">
        <f t="shared" si="302"/>
        <v>1.4348193267798346</v>
      </c>
      <c r="AM528" s="98" t="str">
        <f t="shared" si="287"/>
        <v>1+569,524438815848i</v>
      </c>
      <c r="AN528" s="98">
        <f t="shared" si="303"/>
        <v>569.52531674062266</v>
      </c>
      <c r="AO528" s="98">
        <f t="shared" si="304"/>
        <v>1.569040477696638</v>
      </c>
      <c r="AP528" s="168" t="str">
        <f t="shared" si="305"/>
        <v>-0,0484632397008881+0,358899192568079i</v>
      </c>
      <c r="AQ528" s="98">
        <f t="shared" si="306"/>
        <v>-8.8220747920924953</v>
      </c>
      <c r="AR528" s="169">
        <f t="shared" si="307"/>
        <v>97.690305468921281</v>
      </c>
      <c r="AS528" s="168" t="str">
        <f t="shared" si="308"/>
        <v>-0,0145350753696621-0,010474277572247i</v>
      </c>
      <c r="AT528" s="190">
        <f t="shared" si="309"/>
        <v>-34.935235066019544</v>
      </c>
      <c r="AU528" s="169">
        <f t="shared" si="310"/>
        <v>-144.22269435794584</v>
      </c>
      <c r="AV528" s="225"/>
      <c r="AX528">
        <f t="shared" si="311"/>
        <v>0</v>
      </c>
      <c r="AY528">
        <f t="shared" si="312"/>
        <v>0</v>
      </c>
    </row>
    <row r="529" spans="14:51" x14ac:dyDescent="0.25">
      <c r="N529" s="170">
        <v>11</v>
      </c>
      <c r="O529" s="199">
        <f t="shared" si="314"/>
        <v>1288249.5516931366</v>
      </c>
      <c r="P529" s="189" t="str">
        <f t="shared" si="279"/>
        <v>120,833333333333</v>
      </c>
      <c r="Q529" s="160" t="str">
        <f t="shared" si="280"/>
        <v>1+7217,42700086797i</v>
      </c>
      <c r="R529" s="160">
        <f t="shared" si="288"/>
        <v>7217.427070144734</v>
      </c>
      <c r="S529" s="160">
        <f t="shared" si="289"/>
        <v>1.5706577732641882</v>
      </c>
      <c r="T529" s="160" t="str">
        <f t="shared" si="281"/>
        <v>1+0,485658639310739i</v>
      </c>
      <c r="U529" s="160">
        <f t="shared" si="290"/>
        <v>1.1116943437551343</v>
      </c>
      <c r="V529" s="160">
        <f t="shared" si="291"/>
        <v>0.45210883696538623</v>
      </c>
      <c r="W529" s="98" t="str">
        <f t="shared" si="282"/>
        <v>1-4,15723795249993i</v>
      </c>
      <c r="X529" s="160">
        <f t="shared" si="292"/>
        <v>4.2758189149805919</v>
      </c>
      <c r="Y529" s="160">
        <f t="shared" si="293"/>
        <v>-1.3347367295750627</v>
      </c>
      <c r="Z529" s="98" t="str">
        <f t="shared" si="283"/>
        <v>-0,37155942763435+1,61025204017744i</v>
      </c>
      <c r="AA529" s="160">
        <f t="shared" si="294"/>
        <v>1.652564080802791</v>
      </c>
      <c r="AB529" s="160">
        <f t="shared" si="295"/>
        <v>1.7975732425974709</v>
      </c>
      <c r="AC529" s="171" t="str">
        <f t="shared" si="296"/>
        <v>-0,0214447797184785+0,043117576026865i</v>
      </c>
      <c r="AD529" s="190">
        <f t="shared" si="297"/>
        <v>-26.346985135664404</v>
      </c>
      <c r="AE529" s="169">
        <f t="shared" si="298"/>
        <v>116.44372523900459</v>
      </c>
      <c r="AF529" s="98" t="str">
        <f t="shared" si="284"/>
        <v>-0,0000375877424711299</v>
      </c>
      <c r="AG529" s="98" t="str">
        <f t="shared" si="285"/>
        <v>0,00819953669369633i</v>
      </c>
      <c r="AH529" s="98">
        <f t="shared" si="299"/>
        <v>8.1995366936963299E-3</v>
      </c>
      <c r="AI529" s="98">
        <f t="shared" si="300"/>
        <v>1.5707963267948966</v>
      </c>
      <c r="AJ529" s="98" t="str">
        <f t="shared" si="286"/>
        <v>1+7,47904716016537i</v>
      </c>
      <c r="AK529" s="98">
        <f t="shared" si="301"/>
        <v>7.5456044439115475</v>
      </c>
      <c r="AL529" s="98">
        <f t="shared" si="302"/>
        <v>1.4378777986741289</v>
      </c>
      <c r="AM529" s="98" t="str">
        <f t="shared" si="287"/>
        <v>1+582,790367172888i</v>
      </c>
      <c r="AN529" s="98">
        <f t="shared" si="303"/>
        <v>582.79122511368473</v>
      </c>
      <c r="AO529" s="98">
        <f t="shared" si="304"/>
        <v>1.5690804456223324</v>
      </c>
      <c r="AP529" s="168" t="str">
        <f t="shared" si="305"/>
        <v>-0,0463203442808845+0,351016169391766i</v>
      </c>
      <c r="AQ529" s="98">
        <f t="shared" si="306"/>
        <v>-9.01848203560216</v>
      </c>
      <c r="AR529" s="169">
        <f t="shared" si="307"/>
        <v>97.517357931077072</v>
      </c>
      <c r="AS529" s="168" t="str">
        <f t="shared" si="308"/>
        <v>-0,0141416367908207-0,00952468539635216i</v>
      </c>
      <c r="AT529" s="190">
        <f t="shared" si="309"/>
        <v>-35.36546717126658</v>
      </c>
      <c r="AU529" s="169">
        <f t="shared" si="310"/>
        <v>-146.03891682991824</v>
      </c>
      <c r="AV529" s="225"/>
      <c r="AX529">
        <f t="shared" si="311"/>
        <v>0</v>
      </c>
      <c r="AY529">
        <f t="shared" si="312"/>
        <v>0</v>
      </c>
    </row>
    <row r="530" spans="14:51" x14ac:dyDescent="0.25">
      <c r="N530" s="170">
        <v>12</v>
      </c>
      <c r="O530" s="199">
        <f t="shared" si="314"/>
        <v>1318256.7385564097</v>
      </c>
      <c r="P530" s="189" t="str">
        <f t="shared" si="279"/>
        <v>120,833333333333</v>
      </c>
      <c r="Q530" s="160" t="str">
        <f t="shared" si="280"/>
        <v>1+7385,5424722861i</v>
      </c>
      <c r="R530" s="160">
        <f t="shared" si="288"/>
        <v>7385.5425399859341</v>
      </c>
      <c r="S530" s="160">
        <f t="shared" si="289"/>
        <v>1.5706609271275545</v>
      </c>
      <c r="T530" s="160" t="str">
        <f t="shared" si="281"/>
        <v>1+0,496971082247286i</v>
      </c>
      <c r="U530" s="160">
        <f t="shared" si="290"/>
        <v>1.1166827018406074</v>
      </c>
      <c r="V530" s="160">
        <f t="shared" si="291"/>
        <v>0.46122154020753753</v>
      </c>
      <c r="W530" s="98" t="str">
        <f t="shared" si="282"/>
        <v>1-4,25407246403677i</v>
      </c>
      <c r="X530" s="160">
        <f t="shared" si="292"/>
        <v>4.3700266050993184</v>
      </c>
      <c r="Y530" s="160">
        <f t="shared" si="293"/>
        <v>-1.3399191032552915</v>
      </c>
      <c r="Z530" s="98" t="str">
        <f t="shared" si="283"/>
        <v>-0,43619903202429+1,64775962851937i</v>
      </c>
      <c r="AA530" s="160">
        <f t="shared" si="294"/>
        <v>1.7045179344662877</v>
      </c>
      <c r="AB530" s="160">
        <f t="shared" si="295"/>
        <v>1.8295827389932893</v>
      </c>
      <c r="AC530" s="171" t="str">
        <f t="shared" si="296"/>
        <v>-0,0196728924894861+0,0425083577664917i</v>
      </c>
      <c r="AD530" s="190">
        <f t="shared" si="297"/>
        <v>-26.587667064495044</v>
      </c>
      <c r="AE530" s="169">
        <f t="shared" si="298"/>
        <v>114.8347267841185</v>
      </c>
      <c r="AF530" s="98" t="str">
        <f t="shared" si="284"/>
        <v>-0,0000375877424711299</v>
      </c>
      <c r="AG530" s="98" t="str">
        <f t="shared" si="285"/>
        <v>0,00839052843860836i</v>
      </c>
      <c r="AH530" s="98">
        <f t="shared" si="299"/>
        <v>8.3905284386083592E-3</v>
      </c>
      <c r="AI530" s="98">
        <f t="shared" si="300"/>
        <v>1.5707963267948966</v>
      </c>
      <c r="AJ530" s="98" t="str">
        <f t="shared" si="286"/>
        <v>1+7,65325654793451i</v>
      </c>
      <c r="AK530" s="98">
        <f t="shared" si="301"/>
        <v>7.7183117187959223</v>
      </c>
      <c r="AL530" s="98">
        <f t="shared" si="302"/>
        <v>1.4408690703100873</v>
      </c>
      <c r="AM530" s="98" t="str">
        <f t="shared" si="287"/>
        <v>1+596,365298696744i</v>
      </c>
      <c r="AN530" s="98">
        <f t="shared" si="303"/>
        <v>596.36613710845177</v>
      </c>
      <c r="AO530" s="98">
        <f t="shared" si="304"/>
        <v>1.5691195037722627</v>
      </c>
      <c r="AP530" s="168" t="str">
        <f t="shared" si="305"/>
        <v>-0,0442705807901946+0,343293894814146i</v>
      </c>
      <c r="AQ530" s="98">
        <f t="shared" si="306"/>
        <v>-9.2150482021198474</v>
      </c>
      <c r="AR530" s="169">
        <f t="shared" si="307"/>
        <v>97.348208558106066</v>
      </c>
      <c r="AS530" s="168" t="str">
        <f t="shared" si="308"/>
        <v>-0,0137219293234795-0,00863545357173561i</v>
      </c>
      <c r="AT530" s="190">
        <f t="shared" si="309"/>
        <v>-35.802715266614882</v>
      </c>
      <c r="AU530" s="169">
        <f t="shared" si="310"/>
        <v>-147.81706465777546</v>
      </c>
      <c r="AV530" s="225"/>
      <c r="AX530">
        <f t="shared" si="311"/>
        <v>0</v>
      </c>
      <c r="AY530">
        <f t="shared" si="312"/>
        <v>0</v>
      </c>
    </row>
    <row r="531" spans="14:51" x14ac:dyDescent="0.25">
      <c r="N531" s="170">
        <v>13</v>
      </c>
      <c r="O531" s="199">
        <f t="shared" si="314"/>
        <v>1348962.8825916562</v>
      </c>
      <c r="P531" s="189" t="str">
        <f t="shared" ref="P531:P560" si="315">COMPLEX(Adc,0)</f>
        <v>120,833333333333</v>
      </c>
      <c r="Q531" s="160" t="str">
        <f t="shared" ref="Q531:Q560" si="316">IMSUM(COMPLEX(1,0),IMDIV(COMPLEX(0,2*PI()*O531),COMPLEX(wp_lf,0)))</f>
        <v>1+7557,57385608223i</v>
      </c>
      <c r="R531" s="160">
        <f t="shared" si="288"/>
        <v>7557.5739222410266</v>
      </c>
      <c r="S531" s="160">
        <f t="shared" si="289"/>
        <v>1.5706640092002284</v>
      </c>
      <c r="T531" s="160" t="str">
        <f t="shared" ref="T531:T560" si="317">IMSUM(COMPLEX(1,0),IMDIV(COMPLEX(0,2*PI()*O531),COMPLEX(wz_esr,0)))</f>
        <v>1+0,50854702582983i</v>
      </c>
      <c r="U531" s="160">
        <f t="shared" si="290"/>
        <v>1.1218823813040144</v>
      </c>
      <c r="V531" s="160">
        <f t="shared" si="291"/>
        <v>0.47046182731265862</v>
      </c>
      <c r="W531" s="98" t="str">
        <f t="shared" ref="W531:W560" si="318">IMSUB(COMPLEX(1,0),IMDIV(COMPLEX(0,2*PI()*O531),COMPLEX(wz_rhp,0)))</f>
        <v>1-4,35316254110335i</v>
      </c>
      <c r="X531" s="160">
        <f t="shared" si="292"/>
        <v>4.4665449856981594</v>
      </c>
      <c r="Y531" s="160">
        <f t="shared" si="293"/>
        <v>-1.344995741745687</v>
      </c>
      <c r="Z531" s="98" t="str">
        <f t="shared" ref="Z531:Z560" si="319">IF(Dc_Mode_Loop="CCM",IMSUM(COMPLEX(1,0),IMDIV(COMPLEX(0,2*PI()*O531),COMPLEX(Q*(wsl/2),0)),IMDIV(IMPOWER(COMPLEX(0,2*PI()*O531),2),IMPOWER(COMPLEX(wsl/2,0),2))),COMPLEX(1,0))</f>
        <v>-0,5038850071157+1,68614088082701i</v>
      </c>
      <c r="AA531" s="160">
        <f t="shared" si="294"/>
        <v>1.759821346157636</v>
      </c>
      <c r="AB531" s="160">
        <f t="shared" si="295"/>
        <v>1.8611878354771192</v>
      </c>
      <c r="AC531" s="171" t="str">
        <f t="shared" si="296"/>
        <v>-0,0179798730227204+0,0418245878160901i</v>
      </c>
      <c r="AD531" s="190">
        <f t="shared" si="297"/>
        <v>-26.834903775786078</v>
      </c>
      <c r="AE531" s="169">
        <f t="shared" si="298"/>
        <v>113.26227104773425</v>
      </c>
      <c r="AF531" s="98" t="str">
        <f t="shared" ref="AF531:AF560" si="320">COMPLEX(Adc_ea,0)</f>
        <v>-0,0000375877424711299</v>
      </c>
      <c r="AG531" s="98" t="str">
        <f t="shared" ref="AG531:AG560" si="321">COMPLEX(0,2*PI()*O531*wp0_ea)</f>
        <v>0,00858596895276031i</v>
      </c>
      <c r="AH531" s="98">
        <f t="shared" si="299"/>
        <v>8.5859689527603093E-3</v>
      </c>
      <c r="AI531" s="98">
        <f t="shared" si="300"/>
        <v>1.5707963267948966</v>
      </c>
      <c r="AJ531" s="98" t="str">
        <f t="shared" ref="AJ531:AJ560" si="322">IMSUM(COMPLEX(1,0),IMDIV(COMPLEX(0,2*PI()*O531),COMPLEX(wp1_ea,0)))</f>
        <v>1+7,83152379362817i</v>
      </c>
      <c r="AK531" s="98">
        <f t="shared" si="301"/>
        <v>7.8951101911350277</v>
      </c>
      <c r="AL531" s="98">
        <f t="shared" si="302"/>
        <v>1.4437945134659469</v>
      </c>
      <c r="AM531" s="98" t="str">
        <f t="shared" ref="AM531:AM560" si="323">IMSUM(COMPLEX(1,0),IMDIV(COMPLEX(0,2*PI()*O531),COMPLEX(wz_ea,0)))</f>
        <v>1+610,256430995796i</v>
      </c>
      <c r="AN531" s="98">
        <f t="shared" si="303"/>
        <v>610.25725032294918</v>
      </c>
      <c r="AO531" s="98">
        <f t="shared" si="304"/>
        <v>1.5691576728550998</v>
      </c>
      <c r="AP531" s="168" t="str">
        <f t="shared" si="305"/>
        <v>-0,0423100420355208+0,335729911112086i</v>
      </c>
      <c r="AQ531" s="98">
        <f t="shared" si="306"/>
        <v>-9.4117663793243214</v>
      </c>
      <c r="AR531" s="169">
        <f t="shared" si="307"/>
        <v>97.182779939424293</v>
      </c>
      <c r="AS531" s="168" t="str">
        <f t="shared" si="308"/>
        <v>-0,0132810359664109-0,00780598124034162i</v>
      </c>
      <c r="AT531" s="190">
        <f t="shared" si="309"/>
        <v>-36.246670155110422</v>
      </c>
      <c r="AU531" s="169">
        <f t="shared" si="310"/>
        <v>-149.55494901284135</v>
      </c>
      <c r="AV531" s="225"/>
      <c r="AX531">
        <f t="shared" si="311"/>
        <v>0</v>
      </c>
      <c r="AY531">
        <f t="shared" si="312"/>
        <v>0</v>
      </c>
    </row>
    <row r="532" spans="14:51" x14ac:dyDescent="0.25">
      <c r="N532" s="170">
        <v>14</v>
      </c>
      <c r="O532" s="199">
        <f t="shared" si="314"/>
        <v>1380384.2646028849</v>
      </c>
      <c r="P532" s="189" t="str">
        <f t="shared" si="315"/>
        <v>120,833333333333</v>
      </c>
      <c r="Q532" s="160" t="str">
        <f t="shared" si="316"/>
        <v>1+7733,61236557317i</v>
      </c>
      <c r="R532" s="160">
        <f t="shared" ref="R532:R560" si="324">IMABS(Q532)</f>
        <v>7733.6124302260096</v>
      </c>
      <c r="S532" s="160">
        <f t="shared" ref="S532:S560" si="325">IMARGUMENT(Q532)</f>
        <v>1.5706670211163656</v>
      </c>
      <c r="T532" s="160" t="str">
        <f t="shared" si="317"/>
        <v>1+0,520392607776883i</v>
      </c>
      <c r="U532" s="160">
        <f t="shared" ref="U532:U560" si="326">IMABS(T532)</f>
        <v>1.1273014087762088</v>
      </c>
      <c r="V532" s="160">
        <f t="shared" ref="V532:V560" si="327">IMARGUMENT(T532)</f>
        <v>0.47982828497244789</v>
      </c>
      <c r="W532" s="98" t="str">
        <f t="shared" si="318"/>
        <v>1-4,45456072257013i</v>
      </c>
      <c r="X532" s="160">
        <f t="shared" ref="X532:X560" si="328">IMABS(W532)</f>
        <v>4.5654256352572986</v>
      </c>
      <c r="Y532" s="160">
        <f t="shared" ref="Y532:Y560" si="329">IMARGUMENT(W532)</f>
        <v>-1.3499682895893221</v>
      </c>
      <c r="Z532" s="98" t="str">
        <f t="shared" si="319"/>
        <v>-0,57476092393657+1,72541614734837i</v>
      </c>
      <c r="AA532" s="160">
        <f t="shared" ref="AA532:AA560" si="330">IMABS(Z532)</f>
        <v>1.8186288794624679</v>
      </c>
      <c r="AB532" s="160">
        <f t="shared" ref="AB532:AB560" si="331">IMARGUMENT(Z532)</f>
        <v>1.8923498069995384</v>
      </c>
      <c r="AC532" s="171" t="str">
        <f t="shared" ref="AC532:AC560" si="332">(IMDIV(IMPRODUCT(P532,T532,W532),IMPRODUCT(Q532,Z532)))</f>
        <v>-0,0163691658951394+0,0410746191177725i</v>
      </c>
      <c r="AD532" s="190">
        <f t="shared" ref="AD532:AD560" si="333">20*LOG(IMABS(AC532))</f>
        <v>-27.0883681585548</v>
      </c>
      <c r="AE532" s="169">
        <f t="shared" ref="AE532:AE560" si="334">(180/PI())*IMARGUMENT(AC532)</f>
        <v>111.72840151613661</v>
      </c>
      <c r="AF532" s="98" t="str">
        <f t="shared" si="320"/>
        <v>-0,0000375877424711299</v>
      </c>
      <c r="AG532" s="98" t="str">
        <f t="shared" si="321"/>
        <v>0,00878596186129974i</v>
      </c>
      <c r="AH532" s="98">
        <f t="shared" ref="AH532:AH560" si="335">IMABS(AG532)</f>
        <v>8.78596186129974E-3</v>
      </c>
      <c r="AI532" s="98">
        <f t="shared" ref="AI532:AI560" si="336">IMARGUMENT(AG532)</f>
        <v>1.5707963267948966</v>
      </c>
      <c r="AJ532" s="98" t="str">
        <f t="shared" si="322"/>
        <v>1+8,01394341689968i</v>
      </c>
      <c r="AK532" s="98">
        <f t="shared" ref="AK532:AK560" si="337">IMABS(AJ532)</f>
        <v>8.0760936775937502</v>
      </c>
      <c r="AL532" s="98">
        <f t="shared" ref="AL532:AL560" si="338">IMARGUMENT(AJ532)</f>
        <v>1.4466554788512678</v>
      </c>
      <c r="AM532" s="98" t="str">
        <f t="shared" si="323"/>
        <v>1+624,471129332261i</v>
      </c>
      <c r="AN532" s="98">
        <f t="shared" ref="AN532:AN560" si="339">IMABS(AM532)</f>
        <v>624.47193000927541</v>
      </c>
      <c r="AO532" s="98">
        <f t="shared" ref="AO532:AO560" si="340">IMARGUMENT(AM532)</f>
        <v>1.5691949731081518</v>
      </c>
      <c r="AP532" s="168" t="str">
        <f t="shared" ref="AP532:AP560" si="341">IMPRODUCT(AF532,IMDIV(AM532,IMPRODUCT(AG532,AJ532)))</f>
        <v>-0,0404349725567485+0,328321741208856i</v>
      </c>
      <c r="AQ532" s="98">
        <f t="shared" ref="AQ532:AQ560" si="342">20*LOG(IMABS(AP532))</f>
        <v>-9.6086299453577428</v>
      </c>
      <c r="AR532" s="169">
        <f t="shared" ref="AR532:AR560" si="343">(180/PI())*IMARGUMENT(AP532)</f>
        <v>97.020995844587063</v>
      </c>
      <c r="AS532" s="168" t="str">
        <f t="shared" ref="AS532:AS560" si="344">IMPRODUCT(AC532,AP532)</f>
        <v>-0,0128238036944908-0,00703520414563482i</v>
      </c>
      <c r="AT532" s="190">
        <f t="shared" ref="AT532:AT560" si="345">20*LOG(IMABS(AS532))</f>
        <v>-36.696998103912549</v>
      </c>
      <c r="AU532" s="169">
        <f t="shared" ref="AU532:AU560" si="346">(180/PI())*IMARGUMENT(AS532)</f>
        <v>-151.25060263927631</v>
      </c>
      <c r="AV532" s="225"/>
      <c r="AX532">
        <f t="shared" ref="AX532:AX559" si="347">SUM((AT533&lt;0)*(AT532&gt;0))*O532</f>
        <v>0</v>
      </c>
      <c r="AY532">
        <f t="shared" ref="AY532:AY559" si="348">IF(AX532&gt;0,AU532,0)</f>
        <v>0</v>
      </c>
    </row>
    <row r="533" spans="14:51" x14ac:dyDescent="0.25">
      <c r="N533" s="170">
        <v>15</v>
      </c>
      <c r="O533" s="199">
        <f t="shared" si="314"/>
        <v>1412537.5446227565</v>
      </c>
      <c r="P533" s="189" t="str">
        <f t="shared" si="315"/>
        <v>120,833333333333</v>
      </c>
      <c r="Q533" s="160" t="str">
        <f t="shared" si="316"/>
        <v>1+7913,75133870682i</v>
      </c>
      <c r="R533" s="160">
        <f t="shared" si="324"/>
        <v>7913.7514018879801</v>
      </c>
      <c r="S533" s="160">
        <f t="shared" si="325"/>
        <v>1.5706699644729234</v>
      </c>
      <c r="T533" s="160" t="str">
        <f t="shared" si="317"/>
        <v>1+0,532514108772793i</v>
      </c>
      <c r="U533" s="160">
        <f t="shared" si="326"/>
        <v>1.1329480464884885</v>
      </c>
      <c r="V533" s="160">
        <f t="shared" si="327"/>
        <v>0.48931930472065027</v>
      </c>
      <c r="W533" s="98" t="str">
        <f t="shared" si="318"/>
        <v>1-4,55832077109511i</v>
      </c>
      <c r="X533" s="160">
        <f t="shared" si="328"/>
        <v>4.6667213600339492</v>
      </c>
      <c r="Y533" s="160">
        <f t="shared" si="329"/>
        <v>-1.3548383992345208</v>
      </c>
      <c r="Z533" s="98" t="str">
        <f t="shared" si="319"/>
        <v>-0,648977119809+1,76560625234965i</v>
      </c>
      <c r="AA533" s="160">
        <f t="shared" si="330"/>
        <v>1.8810998751719061</v>
      </c>
      <c r="AB533" s="160">
        <f t="shared" si="331"/>
        <v>1.9230337881959938</v>
      </c>
      <c r="AC533" s="171" t="str">
        <f t="shared" si="332"/>
        <v>-0,0148432016650949+0,0402668733783515i</v>
      </c>
      <c r="AD533" s="190">
        <f t="shared" si="333"/>
        <v>-27.347712722151165</v>
      </c>
      <c r="AE533" s="169">
        <f t="shared" si="334"/>
        <v>110.23492889942408</v>
      </c>
      <c r="AF533" s="98" t="str">
        <f t="shared" si="320"/>
        <v>-0,0000375877424711299</v>
      </c>
      <c r="AG533" s="98" t="str">
        <f t="shared" si="321"/>
        <v>0,00899061320311401i</v>
      </c>
      <c r="AH533" s="98">
        <f t="shared" si="335"/>
        <v>8.9906132031140097E-3</v>
      </c>
      <c r="AI533" s="98">
        <f t="shared" si="336"/>
        <v>1.5707963267948966</v>
      </c>
      <c r="AJ533" s="98" t="str">
        <f t="shared" si="322"/>
        <v>1+8,20061213904794i</v>
      </c>
      <c r="AK533" s="98">
        <f t="shared" si="337"/>
        <v>8.2613582088601181</v>
      </c>
      <c r="AL533" s="98">
        <f t="shared" si="338"/>
        <v>1.4494532959489868</v>
      </c>
      <c r="AM533" s="98" t="str">
        <f t="shared" si="323"/>
        <v>1+639,016930527352i</v>
      </c>
      <c r="AN533" s="98">
        <f t="shared" si="339"/>
        <v>639.01771297875507</v>
      </c>
      <c r="AO533" s="98">
        <f t="shared" si="340"/>
        <v>1.5692314243080907</v>
      </c>
      <c r="AP533" s="168" t="str">
        <f t="shared" si="341"/>
        <v>-0,038641763806166+0,321066893628505i</v>
      </c>
      <c r="AQ533" s="98">
        <f t="shared" si="342"/>
        <v>-9.8056325575047136</v>
      </c>
      <c r="AR533" s="169">
        <f t="shared" si="343"/>
        <v>96.862781232952926</v>
      </c>
      <c r="AS533" s="168" t="str">
        <f t="shared" si="344"/>
        <v>-0,0123547924588498-0,00632164366041252i</v>
      </c>
      <c r="AT533" s="190">
        <f t="shared" si="345"/>
        <v>-37.153345279655866</v>
      </c>
      <c r="AU533" s="169">
        <f t="shared" si="346"/>
        <v>-152.90228986762304</v>
      </c>
      <c r="AV533" s="225"/>
      <c r="AX533">
        <f t="shared" si="347"/>
        <v>0</v>
      </c>
      <c r="AY533">
        <f t="shared" si="348"/>
        <v>0</v>
      </c>
    </row>
    <row r="534" spans="14:51" x14ac:dyDescent="0.25">
      <c r="N534" s="170">
        <v>16</v>
      </c>
      <c r="O534" s="199">
        <f t="shared" si="314"/>
        <v>1445439.7707459298</v>
      </c>
      <c r="P534" s="189" t="str">
        <f t="shared" si="315"/>
        <v>120,833333333333</v>
      </c>
      <c r="Q534" s="160" t="str">
        <f t="shared" si="316"/>
        <v>1+8098,08628755114i</v>
      </c>
      <c r="R534" s="160">
        <f t="shared" si="324"/>
        <v>8098.0863492941226</v>
      </c>
      <c r="S534" s="160">
        <f t="shared" si="325"/>
        <v>1.5706728408305084</v>
      </c>
      <c r="T534" s="160" t="str">
        <f t="shared" si="317"/>
        <v>1+0,544917955797831i</v>
      </c>
      <c r="U534" s="160">
        <f t="shared" si="326"/>
        <v>1.1388307945216827</v>
      </c>
      <c r="V534" s="160">
        <f t="shared" si="327"/>
        <v>0.49893307840687057</v>
      </c>
      <c r="W534" s="98" t="str">
        <f t="shared" si="318"/>
        <v>1-4,66449770162943i</v>
      </c>
      <c r="X534" s="160">
        <f t="shared" si="328"/>
        <v>4.7704862234898275</v>
      </c>
      <c r="Y534" s="160">
        <f t="shared" si="329"/>
        <v>-1.3596077283838364</v>
      </c>
      <c r="Z534" s="98" t="str">
        <f t="shared" si="319"/>
        <v>-0,72669101723475+1,80673250515648i</v>
      </c>
      <c r="AA534" s="160">
        <f t="shared" si="330"/>
        <v>1.94739882400054</v>
      </c>
      <c r="AB534" s="160">
        <f t="shared" si="331"/>
        <v>1.9532088702761388</v>
      </c>
      <c r="AC534" s="171" t="str">
        <f t="shared" si="332"/>
        <v>-0,0134034363620092+0,0394097015560278i</v>
      </c>
      <c r="AD534" s="190">
        <f t="shared" si="333"/>
        <v>-27.61257404724271</v>
      </c>
      <c r="AE534" s="169">
        <f t="shared" si="334"/>
        <v>108.78342547267076</v>
      </c>
      <c r="AF534" s="98" t="str">
        <f t="shared" si="320"/>
        <v>-0,0000375877424711299</v>
      </c>
      <c r="AG534" s="98" t="str">
        <f t="shared" si="321"/>
        <v>0,00920003148705339i</v>
      </c>
      <c r="AH534" s="98">
        <f t="shared" si="335"/>
        <v>9.2000314870533898E-3</v>
      </c>
      <c r="AI534" s="98">
        <f t="shared" si="336"/>
        <v>1.5707963267948966</v>
      </c>
      <c r="AJ534" s="98" t="str">
        <f t="shared" si="322"/>
        <v>1+8,39162893430025i</v>
      </c>
      <c r="AK534" s="98">
        <f t="shared" si="337"/>
        <v>8.4510020808768687</v>
      </c>
      <c r="AL534" s="98">
        <f t="shared" si="338"/>
        <v>1.4521892728993846</v>
      </c>
      <c r="AM534" s="98" t="str">
        <f t="shared" si="323"/>
        <v>1+653,901546957397i</v>
      </c>
      <c r="AN534" s="98">
        <f t="shared" si="339"/>
        <v>653.90231159805273</v>
      </c>
      <c r="AO534" s="98">
        <f t="shared" si="340"/>
        <v>1.5692670457814382</v>
      </c>
      <c r="AP534" s="168" t="str">
        <f t="shared" si="341"/>
        <v>-0,0369269493821195+0,313962867089055i</v>
      </c>
      <c r="AQ534" s="98">
        <f t="shared" si="342"/>
        <v>-10.002768141234277</v>
      </c>
      <c r="AR534" s="169">
        <f t="shared" si="343"/>
        <v>96.708062260932863</v>
      </c>
      <c r="AS534" s="168" t="str">
        <f t="shared" si="344"/>
        <v>-0,0118782348755681-0,00566346136358598i</v>
      </c>
      <c r="AT534" s="190">
        <f t="shared" si="345"/>
        <v>-37.615342188476994</v>
      </c>
      <c r="AU534" s="169">
        <f t="shared" si="346"/>
        <v>-154.50851226639634</v>
      </c>
      <c r="AV534" s="225"/>
      <c r="AX534">
        <f t="shared" si="347"/>
        <v>0</v>
      </c>
      <c r="AY534">
        <f t="shared" si="348"/>
        <v>0</v>
      </c>
    </row>
    <row r="535" spans="14:51" x14ac:dyDescent="0.25">
      <c r="N535" s="170">
        <v>17</v>
      </c>
      <c r="O535" s="199">
        <f t="shared" si="314"/>
        <v>1479108.3881682095</v>
      </c>
      <c r="P535" s="189" t="str">
        <f t="shared" si="315"/>
        <v>120,833333333333</v>
      </c>
      <c r="Q535" s="160" t="str">
        <f t="shared" si="316"/>
        <v>1+8286,71494893594i</v>
      </c>
      <c r="R535" s="160">
        <f t="shared" si="324"/>
        <v>8286.715009273481</v>
      </c>
      <c r="S535" s="160">
        <f t="shared" si="325"/>
        <v>1.5706756517142033</v>
      </c>
      <c r="T535" s="160" t="str">
        <f t="shared" si="317"/>
        <v>1+0,557610725535873i</v>
      </c>
      <c r="U535" s="160">
        <f t="shared" si="326"/>
        <v>1.1449583927954075</v>
      </c>
      <c r="V535" s="160">
        <f t="shared" si="327"/>
        <v>0.50866759418674323</v>
      </c>
      <c r="W535" s="98" t="str">
        <f t="shared" si="318"/>
        <v>1-4,77314781058708i</v>
      </c>
      <c r="X535" s="160">
        <f t="shared" si="328"/>
        <v>4.8767755763118972</v>
      </c>
      <c r="Y535" s="160">
        <f t="shared" si="329"/>
        <v>-1.3642779375145142</v>
      </c>
      <c r="Z535" s="98" t="str">
        <f t="shared" si="319"/>
        <v>-0,80806745780955+1,84881671145248i</v>
      </c>
      <c r="AA535" s="160">
        <f t="shared" si="330"/>
        <v>2.0176957770974178</v>
      </c>
      <c r="AB535" s="160">
        <f t="shared" si="331"/>
        <v>1.9828481265909401</v>
      </c>
      <c r="AC535" s="171" t="str">
        <f t="shared" si="332"/>
        <v>-0,0120504105979753+0,038511259230275i</v>
      </c>
      <c r="AD535" s="190">
        <f t="shared" si="333"/>
        <v>-27.882577135708377</v>
      </c>
      <c r="AE535" s="169">
        <f t="shared" si="334"/>
        <v>107.37522352331261</v>
      </c>
      <c r="AF535" s="98" t="str">
        <f t="shared" si="320"/>
        <v>-0,0000375877424711299</v>
      </c>
      <c r="AG535" s="98" t="str">
        <f t="shared" si="321"/>
        <v>0,00941432774946402i</v>
      </c>
      <c r="AH535" s="98">
        <f t="shared" si="335"/>
        <v>9.4143277494640205E-3</v>
      </c>
      <c r="AI535" s="98">
        <f t="shared" si="336"/>
        <v>1.5707963267948966</v>
      </c>
      <c r="AJ535" s="98" t="str">
        <f t="shared" si="322"/>
        <v>1+8,58709508228985i</v>
      </c>
      <c r="AK535" s="98">
        <f t="shared" si="337"/>
        <v>8.6451259072547053</v>
      </c>
      <c r="AL535" s="98">
        <f t="shared" si="338"/>
        <v>1.4548646964228915</v>
      </c>
      <c r="AM535" s="98" t="str">
        <f t="shared" si="323"/>
        <v>1+669,132870643049i</v>
      </c>
      <c r="AN535" s="98">
        <f t="shared" si="339"/>
        <v>669.13361787837812</v>
      </c>
      <c r="AO535" s="98">
        <f t="shared" si="340"/>
        <v>1.5693018564148087</v>
      </c>
      <c r="AP535" s="168" t="str">
        <f t="shared" si="341"/>
        <v>-0,0352872003272057+0,307007154753933i</v>
      </c>
      <c r="AQ535" s="98">
        <f t="shared" si="342"/>
        <v>-10.200030879601504</v>
      </c>
      <c r="AR535" s="169">
        <f t="shared" si="343"/>
        <v>96.556766287000201</v>
      </c>
      <c r="AS535" s="168" t="str">
        <f t="shared" si="344"/>
        <v>-0,011398006869482-0,0050585167906127i</v>
      </c>
      <c r="AT535" s="190">
        <f t="shared" si="345"/>
        <v>-38.082608015309901</v>
      </c>
      <c r="AU535" s="169">
        <f t="shared" si="346"/>
        <v>-156.06801018968713</v>
      </c>
      <c r="AV535" s="225"/>
      <c r="AX535">
        <f t="shared" si="347"/>
        <v>0</v>
      </c>
      <c r="AY535">
        <f t="shared" si="348"/>
        <v>0</v>
      </c>
    </row>
    <row r="536" spans="14:51" x14ac:dyDescent="0.25">
      <c r="N536" s="170">
        <v>18</v>
      </c>
      <c r="O536" s="199">
        <f t="shared" si="314"/>
        <v>1513561.2484362102</v>
      </c>
      <c r="P536" s="189" t="str">
        <f t="shared" si="315"/>
        <v>120,833333333333</v>
      </c>
      <c r="Q536" s="160" t="str">
        <f t="shared" si="316"/>
        <v>1+8479,73733627432i</v>
      </c>
      <c r="R536" s="160">
        <f t="shared" si="324"/>
        <v>8479.7373952384114</v>
      </c>
      <c r="S536" s="160">
        <f t="shared" si="325"/>
        <v>1.5706783986143755</v>
      </c>
      <c r="T536" s="160" t="str">
        <f t="shared" si="317"/>
        <v>1+0,570599147861446i</v>
      </c>
      <c r="U536" s="160">
        <f t="shared" si="326"/>
        <v>1.1513398227891747</v>
      </c>
      <c r="V536" s="160">
        <f t="shared" si="327"/>
        <v>0.51852063308381557</v>
      </c>
      <c r="W536" s="98" t="str">
        <f t="shared" si="318"/>
        <v>1-4,88432870569398i</v>
      </c>
      <c r="X536" s="160">
        <f t="shared" si="328"/>
        <v>4.98564608704491</v>
      </c>
      <c r="Y536" s="160">
        <f t="shared" si="329"/>
        <v>-1.3688506875640662</v>
      </c>
      <c r="Z536" s="98" t="str">
        <f t="shared" si="319"/>
        <v>-0,8932790518742+1,89188118484087i</v>
      </c>
      <c r="AA536" s="160">
        <f t="shared" si="330"/>
        <v>2.0921667911694244</v>
      </c>
      <c r="AB536" s="160">
        <f t="shared" si="331"/>
        <v>2.0119285733152603</v>
      </c>
      <c r="AC536" s="171" t="str">
        <f t="shared" si="332"/>
        <v>-0,0107838241197929+0,0375793992658256i</v>
      </c>
      <c r="AD536" s="190">
        <f t="shared" si="333"/>
        <v>-28.157339569024575</v>
      </c>
      <c r="AE536" s="169">
        <f t="shared" si="334"/>
        <v>106.0114175394404</v>
      </c>
      <c r="AF536" s="98" t="str">
        <f t="shared" si="320"/>
        <v>-0,0000375877424711299</v>
      </c>
      <c r="AG536" s="98" t="str">
        <f t="shared" si="321"/>
        <v>0,00963361561306077i</v>
      </c>
      <c r="AH536" s="98">
        <f t="shared" si="335"/>
        <v>9.6336156130607704E-3</v>
      </c>
      <c r="AI536" s="98">
        <f t="shared" si="336"/>
        <v>1.5707963267948966</v>
      </c>
      <c r="AJ536" s="98" t="str">
        <f t="shared" si="322"/>
        <v>1+8,78711422175573i</v>
      </c>
      <c r="AK536" s="98">
        <f t="shared" si="337"/>
        <v>8.8438326728959424</v>
      </c>
      <c r="AL536" s="98">
        <f t="shared" si="338"/>
        <v>1.4574808317788257</v>
      </c>
      <c r="AM536" s="98" t="str">
        <f t="shared" si="323"/>
        <v>1+684,718977433736i</v>
      </c>
      <c r="AN536" s="98">
        <f t="shared" si="339"/>
        <v>684.71970765993069</v>
      </c>
      <c r="AO536" s="98">
        <f t="shared" si="340"/>
        <v>1.5693358746649231</v>
      </c>
      <c r="AP536" s="168" t="str">
        <f t="shared" si="341"/>
        <v>-0,033719320499763+0,300197248160463i</v>
      </c>
      <c r="AQ536" s="98">
        <f t="shared" si="342"/>
        <v>-10.397415203002549</v>
      </c>
      <c r="AR536" s="169">
        <f t="shared" si="343"/>
        <v>96.408821874628188</v>
      </c>
      <c r="AS536" s="168" t="str">
        <f t="shared" si="344"/>
        <v>-0,0109176090254158-0,00450442613344119i</v>
      </c>
      <c r="AT536" s="190">
        <f t="shared" si="345"/>
        <v>-38.554754772027124</v>
      </c>
      <c r="AU536" s="169">
        <f t="shared" si="346"/>
        <v>-157.57976058593138</v>
      </c>
      <c r="AV536" s="225"/>
      <c r="AX536">
        <f t="shared" si="347"/>
        <v>0</v>
      </c>
      <c r="AY536">
        <f t="shared" si="348"/>
        <v>0</v>
      </c>
    </row>
    <row r="537" spans="14:51" x14ac:dyDescent="0.25">
      <c r="N537" s="170">
        <v>19</v>
      </c>
      <c r="O537" s="199">
        <f t="shared" si="314"/>
        <v>1548816.6189124861</v>
      </c>
      <c r="P537" s="189" t="str">
        <f t="shared" si="315"/>
        <v>120,833333333333</v>
      </c>
      <c r="Q537" s="160" t="str">
        <f t="shared" si="316"/>
        <v>1+8677,25579259099i</v>
      </c>
      <c r="R537" s="160">
        <f t="shared" si="324"/>
        <v>8677.2558502128941</v>
      </c>
      <c r="S537" s="160">
        <f t="shared" si="325"/>
        <v>1.5706810829874678</v>
      </c>
      <c r="T537" s="160" t="str">
        <f t="shared" si="317"/>
        <v>1+0,583890109407989i</v>
      </c>
      <c r="U537" s="160">
        <f t="shared" si="326"/>
        <v>1.1579843089888884</v>
      </c>
      <c r="V537" s="160">
        <f t="shared" si="327"/>
        <v>0.52848976617799526</v>
      </c>
      <c r="W537" s="98" t="str">
        <f t="shared" si="318"/>
        <v>1-4,99809933653239i</v>
      </c>
      <c r="X537" s="160">
        <f t="shared" si="328"/>
        <v>5.097155773354932</v>
      </c>
      <c r="Y537" s="160">
        <f t="shared" si="329"/>
        <v>-1.3733276377744799</v>
      </c>
      <c r="Z537" s="98" t="str">
        <f t="shared" si="319"/>
        <v>-0,98250654464422+1,93594875867548i</v>
      </c>
      <c r="AA537" s="160">
        <f t="shared" si="330"/>
        <v>2.1709944049872298</v>
      </c>
      <c r="AB537" s="160">
        <f t="shared" si="331"/>
        <v>2.0404310730349549</v>
      </c>
      <c r="AC537" s="171" t="str">
        <f t="shared" si="332"/>
        <v>-0,0096026215144151+0,0366215831177458i</v>
      </c>
      <c r="AD537" s="190">
        <f t="shared" si="333"/>
        <v>-28.436475401690188</v>
      </c>
      <c r="AE537" s="169">
        <f t="shared" si="334"/>
        <v>104.692869696234</v>
      </c>
      <c r="AF537" s="98" t="str">
        <f t="shared" si="320"/>
        <v>-0,0000375877424711299</v>
      </c>
      <c r="AG537" s="98" t="str">
        <f t="shared" si="321"/>
        <v>0,00985801134717156i</v>
      </c>
      <c r="AH537" s="98">
        <f t="shared" si="335"/>
        <v>9.8580113471715605E-3</v>
      </c>
      <c r="AI537" s="98">
        <f t="shared" si="336"/>
        <v>1.5707963267948966</v>
      </c>
      <c r="AJ537" s="98" t="str">
        <f t="shared" si="322"/>
        <v>1+8,99179240549321i</v>
      </c>
      <c r="AK537" s="98">
        <f t="shared" si="337"/>
        <v>9.0472277888580521</v>
      </c>
      <c r="AL537" s="98">
        <f t="shared" si="338"/>
        <v>1.4600389227573154</v>
      </c>
      <c r="AM537" s="98" t="str">
        <f t="shared" si="323"/>
        <v>1+700,668131289587i</v>
      </c>
      <c r="AN537" s="98">
        <f t="shared" si="339"/>
        <v>700.6688448938213</v>
      </c>
      <c r="AO537" s="98">
        <f t="shared" si="340"/>
        <v>1.5693691185683929</v>
      </c>
      <c r="AP537" s="168" t="str">
        <f t="shared" si="341"/>
        <v>-0,0322202420261931+0,293530640843518i</v>
      </c>
      <c r="AQ537" s="98">
        <f t="shared" si="342"/>
        <v>-10.594915779277443</v>
      </c>
      <c r="AR537" s="169">
        <f t="shared" si="343"/>
        <v>96.264158793313626</v>
      </c>
      <c r="AS537" s="168" t="str">
        <f t="shared" si="344"/>
        <v>-0,0104401579719757-0,00399861991834013i</v>
      </c>
      <c r="AT537" s="190">
        <f t="shared" si="345"/>
        <v>-39.031391180967631</v>
      </c>
      <c r="AU537" s="169">
        <f t="shared" si="346"/>
        <v>-159.04297151045239</v>
      </c>
      <c r="AV537" s="225"/>
      <c r="AX537">
        <f t="shared" si="347"/>
        <v>0</v>
      </c>
      <c r="AY537">
        <f t="shared" si="348"/>
        <v>0</v>
      </c>
    </row>
    <row r="538" spans="14:51" x14ac:dyDescent="0.25">
      <c r="N538" s="170">
        <v>20</v>
      </c>
      <c r="O538" s="199">
        <f t="shared" si="314"/>
        <v>1584893.1924611153</v>
      </c>
      <c r="P538" s="189" t="str">
        <f t="shared" si="315"/>
        <v>120,833333333333</v>
      </c>
      <c r="Q538" s="160" t="str">
        <f t="shared" si="316"/>
        <v>1+8879,37504478592i</v>
      </c>
      <c r="R538" s="160">
        <f t="shared" si="324"/>
        <v>8879.3751010961878</v>
      </c>
      <c r="S538" s="160">
        <f t="shared" si="325"/>
        <v>1.57068370625677</v>
      </c>
      <c r="T538" s="160" t="str">
        <f t="shared" si="317"/>
        <v>1+0,597490657219237i</v>
      </c>
      <c r="U538" s="160">
        <f t="shared" si="326"/>
        <v>1.1649013200543108</v>
      </c>
      <c r="V538" s="160">
        <f t="shared" si="327"/>
        <v>0.53857235247423596</v>
      </c>
      <c r="W538" s="98" t="str">
        <f t="shared" si="318"/>
        <v>1-5,11452002579667i</v>
      </c>
      <c r="X538" s="160">
        <f t="shared" si="328"/>
        <v>5.2113640339430498</v>
      </c>
      <c r="Y538" s="160">
        <f t="shared" si="329"/>
        <v>-1.377710443688521</v>
      </c>
      <c r="Z538" s="98" t="str">
        <f t="shared" si="319"/>
        <v>-1,0759391995947+1,98104279816723i</v>
      </c>
      <c r="AA538" s="160">
        <f t="shared" si="330"/>
        <v>2.254368144158077</v>
      </c>
      <c r="AB538" s="160">
        <f t="shared" si="331"/>
        <v>2.0683401898626106</v>
      </c>
      <c r="AC538" s="171" t="str">
        <f t="shared" si="332"/>
        <v>-0,00850508492260426+0,0356448111510395i</v>
      </c>
      <c r="AD538" s="190">
        <f t="shared" si="333"/>
        <v>-28.719598733950193</v>
      </c>
      <c r="AE538" s="169">
        <f t="shared" si="334"/>
        <v>103.4202181498638</v>
      </c>
      <c r="AF538" s="98" t="str">
        <f t="shared" si="320"/>
        <v>-0,0000375877424711299</v>
      </c>
      <c r="AG538" s="98" t="str">
        <f t="shared" si="321"/>
        <v>0,0100876339293848i</v>
      </c>
      <c r="AH538" s="98">
        <f t="shared" si="335"/>
        <v>1.00876339293848E-2</v>
      </c>
      <c r="AI538" s="98">
        <f t="shared" si="336"/>
        <v>1.5707963267948966</v>
      </c>
      <c r="AJ538" s="98" t="str">
        <f t="shared" si="322"/>
        <v>1+9,20123815658449i</v>
      </c>
      <c r="AK538" s="98">
        <f t="shared" si="337"/>
        <v>9.255419148487352</v>
      </c>
      <c r="AL538" s="98">
        <f t="shared" si="338"/>
        <v>1.4625401917018177</v>
      </c>
      <c r="AM538" s="98" t="str">
        <f t="shared" si="323"/>
        <v>1+716,988788663085i</v>
      </c>
      <c r="AN538" s="98">
        <f t="shared" si="339"/>
        <v>716.98948602371968</v>
      </c>
      <c r="AO538" s="98">
        <f t="shared" si="340"/>
        <v>1.5694016057512818</v>
      </c>
      <c r="AP538" s="168" t="str">
        <f t="shared" si="341"/>
        <v>-0,0307870208405034+0,287004831671726i</v>
      </c>
      <c r="AQ538" s="98">
        <f t="shared" si="342"/>
        <v>-10.792527504154478</v>
      </c>
      <c r="AR538" s="169">
        <f t="shared" si="343"/>
        <v>96.122708017834299</v>
      </c>
      <c r="AS538" s="168" t="str">
        <f t="shared" si="344"/>
        <v>-0,00996838679761209-0,00353839801032863i</v>
      </c>
      <c r="AT538" s="190">
        <f t="shared" si="345"/>
        <v>-39.512126238104671</v>
      </c>
      <c r="AU538" s="169">
        <f t="shared" si="346"/>
        <v>-160.45707383230189</v>
      </c>
      <c r="AV538" s="225"/>
      <c r="AX538">
        <f t="shared" si="347"/>
        <v>0</v>
      </c>
      <c r="AY538">
        <f t="shared" si="348"/>
        <v>0</v>
      </c>
    </row>
    <row r="539" spans="14:51" x14ac:dyDescent="0.25">
      <c r="N539" s="170">
        <v>21</v>
      </c>
      <c r="O539" s="199">
        <f t="shared" si="314"/>
        <v>1621810.0973589318</v>
      </c>
      <c r="P539" s="189" t="str">
        <f t="shared" si="315"/>
        <v>120,833333333333</v>
      </c>
      <c r="Q539" s="160" t="str">
        <f t="shared" si="316"/>
        <v>1+9086,20225916201i</v>
      </c>
      <c r="R539" s="160">
        <f t="shared" si="324"/>
        <v>9086.2023141905011</v>
      </c>
      <c r="S539" s="160">
        <f t="shared" si="325"/>
        <v>1.5706862698131743</v>
      </c>
      <c r="T539" s="160" t="str">
        <f t="shared" si="317"/>
        <v>1+0,611408002485665i</v>
      </c>
      <c r="U539" s="160">
        <f t="shared" si="326"/>
        <v>1.1721005697053093</v>
      </c>
      <c r="V539" s="160">
        <f t="shared" si="327"/>
        <v>0.54876553750326573</v>
      </c>
      <c r="W539" s="98" t="str">
        <f t="shared" si="318"/>
        <v>1-5,2336525012773i</v>
      </c>
      <c r="X539" s="160">
        <f t="shared" si="328"/>
        <v>5.3283316811292947</v>
      </c>
      <c r="Y539" s="160">
        <f t="shared" si="329"/>
        <v>-1.3820007552915869</v>
      </c>
      <c r="Z539" s="98" t="str">
        <f t="shared" si="319"/>
        <v>-1,17377519991353+2,02718721277278i</v>
      </c>
      <c r="AA539" s="160">
        <f t="shared" si="330"/>
        <v>2.3424850512994779</v>
      </c>
      <c r="AB539" s="160">
        <f t="shared" si="331"/>
        <v>2.0956440050616596</v>
      </c>
      <c r="AC539" s="171" t="str">
        <f t="shared" si="332"/>
        <v>-0,00748892995253408+0,0346555715133608i</v>
      </c>
      <c r="AD539" s="190">
        <f t="shared" si="333"/>
        <v>-29.006326925490828</v>
      </c>
      <c r="AE539" s="169">
        <f t="shared" si="334"/>
        <v>102.19388762769819</v>
      </c>
      <c r="AF539" s="98" t="str">
        <f t="shared" si="320"/>
        <v>-0,0000375877424711299</v>
      </c>
      <c r="AG539" s="98" t="str">
        <f t="shared" si="321"/>
        <v>0,010322605108633i</v>
      </c>
      <c r="AH539" s="98">
        <f t="shared" si="335"/>
        <v>1.0322605108633E-2</v>
      </c>
      <c r="AI539" s="98">
        <f t="shared" si="336"/>
        <v>1.5707963267948966</v>
      </c>
      <c r="AJ539" s="98" t="str">
        <f t="shared" si="322"/>
        <v>1+9,41556252593916i</v>
      </c>
      <c r="AK539" s="98">
        <f t="shared" si="337"/>
        <v>9.4685171848537006</v>
      </c>
      <c r="AL539" s="98">
        <f t="shared" si="338"/>
        <v>1.4649858395597948</v>
      </c>
      <c r="AM539" s="98" t="str">
        <f t="shared" si="323"/>
        <v>1+733,689602982799i</v>
      </c>
      <c r="AN539" s="98">
        <f t="shared" si="339"/>
        <v>733.69028446958282</v>
      </c>
      <c r="AO539" s="98">
        <f t="shared" si="340"/>
        <v>1.5694333534384495</v>
      </c>
      <c r="AP539" s="168" t="str">
        <f t="shared" si="341"/>
        <v>-0,0294168323164443+0,280617327912918i</v>
      </c>
      <c r="AQ539" s="98">
        <f t="shared" si="342"/>
        <v>-10.990245492029665</v>
      </c>
      <c r="AR539" s="169">
        <f t="shared" si="343"/>
        <v>95.984401725881</v>
      </c>
      <c r="AS539" s="168" t="str">
        <f t="shared" si="344"/>
        <v>-0,00950465327873106-0,00312098064824621i</v>
      </c>
      <c r="AT539" s="190">
        <f t="shared" si="345"/>
        <v>-39.996572417520483</v>
      </c>
      <c r="AU539" s="169">
        <f t="shared" si="346"/>
        <v>-161.8217106464208</v>
      </c>
      <c r="AV539" s="225"/>
      <c r="AX539">
        <f t="shared" si="347"/>
        <v>0</v>
      </c>
      <c r="AY539">
        <f t="shared" si="348"/>
        <v>0</v>
      </c>
    </row>
    <row r="540" spans="14:51" x14ac:dyDescent="0.25">
      <c r="N540" s="170">
        <v>22</v>
      </c>
      <c r="O540" s="199">
        <f t="shared" si="314"/>
        <v>1659586.9074375622</v>
      </c>
      <c r="P540" s="189" t="str">
        <f t="shared" si="315"/>
        <v>120,833333333333</v>
      </c>
      <c r="Q540" s="160" t="str">
        <f t="shared" si="316"/>
        <v>1+9297,84709824607i</v>
      </c>
      <c r="R540" s="160">
        <f t="shared" si="324"/>
        <v>9297.8471520219591</v>
      </c>
      <c r="S540" s="160">
        <f t="shared" si="325"/>
        <v>1.570688775015912</v>
      </c>
      <c r="T540" s="160" t="str">
        <f t="shared" si="317"/>
        <v>1+0,625649524367957i</v>
      </c>
      <c r="U540" s="160">
        <f t="shared" si="326"/>
        <v>1.1795920173271142</v>
      </c>
      <c r="V540" s="160">
        <f t="shared" si="327"/>
        <v>0.55906625270356647</v>
      </c>
      <c r="W540" s="98" t="str">
        <f t="shared" si="318"/>
        <v>1-5,35555992858971i</v>
      </c>
      <c r="X540" s="160">
        <f t="shared" si="328"/>
        <v>5.4481209741263843</v>
      </c>
      <c r="Y540" s="160">
        <f t="shared" si="329"/>
        <v>-1.3862002152925648</v>
      </c>
      <c r="Z540" s="98" t="str">
        <f t="shared" si="319"/>
        <v>-1,27622206887452+2,07440646887155i</v>
      </c>
      <c r="AA540" s="160">
        <f t="shared" si="330"/>
        <v>2.4355502390996766</v>
      </c>
      <c r="AB540" s="160">
        <f t="shared" si="331"/>
        <v>2.1223339020968446</v>
      </c>
      <c r="AC540" s="171" t="str">
        <f t="shared" si="332"/>
        <v>-0,00655140145973702+0,0336598064314221i</v>
      </c>
      <c r="AD540" s="190">
        <f t="shared" si="333"/>
        <v>-29.296283428025873</v>
      </c>
      <c r="AE540" s="169">
        <f t="shared" si="334"/>
        <v>101.01410180705319</v>
      </c>
      <c r="AF540" s="98" t="str">
        <f t="shared" si="320"/>
        <v>-0,0000375877424711299</v>
      </c>
      <c r="AG540" s="98" t="str">
        <f t="shared" si="321"/>
        <v>0,0105630494697457i</v>
      </c>
      <c r="AH540" s="98">
        <f t="shared" si="335"/>
        <v>1.05630494697457E-2</v>
      </c>
      <c r="AI540" s="98">
        <f t="shared" si="336"/>
        <v>1.5707963267948966</v>
      </c>
      <c r="AJ540" s="98" t="str">
        <f t="shared" si="322"/>
        <v>1+9,63487915117485i</v>
      </c>
      <c r="AK540" s="98">
        <f t="shared" si="337"/>
        <v>9.6866349295172576</v>
      </c>
      <c r="AL540" s="98">
        <f t="shared" si="338"/>
        <v>1.467377045959243</v>
      </c>
      <c r="AM540" s="98" t="str">
        <f t="shared" si="323"/>
        <v>1+750,779429241549i</v>
      </c>
      <c r="AN540" s="98">
        <f t="shared" si="339"/>
        <v>750.7800952158135</v>
      </c>
      <c r="AO540" s="98">
        <f t="shared" si="340"/>
        <v>1.5694643784626841</v>
      </c>
      <c r="AP540" s="168" t="str">
        <f t="shared" si="341"/>
        <v>-0,0281069669966821+0,274365648044842i</v>
      </c>
      <c r="AQ540" s="98">
        <f t="shared" si="342"/>
        <v>-11.188065067073083</v>
      </c>
      <c r="AR540" s="169">
        <f t="shared" si="343"/>
        <v>95.849173294195893</v>
      </c>
      <c r="AS540" s="168" t="str">
        <f t="shared" si="344"/>
        <v>-0,00905095458001022-0,00274355457558536i</v>
      </c>
      <c r="AT540" s="190">
        <f t="shared" si="345"/>
        <v>-40.484348495098956</v>
      </c>
      <c r="AU540" s="169">
        <f t="shared" si="346"/>
        <v>-163.13672489875091</v>
      </c>
      <c r="AV540" s="225"/>
      <c r="AX540">
        <f t="shared" si="347"/>
        <v>0</v>
      </c>
      <c r="AY540">
        <f t="shared" si="348"/>
        <v>0</v>
      </c>
    </row>
    <row r="541" spans="14:51" x14ac:dyDescent="0.25">
      <c r="N541" s="170">
        <v>23</v>
      </c>
      <c r="O541" s="199">
        <f t="shared" si="314"/>
        <v>1698243.6524617488</v>
      </c>
      <c r="P541" s="189" t="str">
        <f t="shared" si="315"/>
        <v>120,833333333333</v>
      </c>
      <c r="Q541" s="160" t="str">
        <f t="shared" si="316"/>
        <v>1+9514,42177893321i</v>
      </c>
      <c r="R541" s="160">
        <f t="shared" si="324"/>
        <v>9514.4218314850114</v>
      </c>
      <c r="S541" s="160">
        <f t="shared" si="325"/>
        <v>1.5706912231932746</v>
      </c>
      <c r="T541" s="160" t="str">
        <f t="shared" si="317"/>
        <v>1+0,640222773909521i</v>
      </c>
      <c r="U541" s="160">
        <f t="shared" si="326"/>
        <v>1.187385868297413</v>
      </c>
      <c r="V541" s="160">
        <f t="shared" si="327"/>
        <v>0.56947121563050829</v>
      </c>
      <c r="W541" s="98" t="str">
        <f t="shared" si="318"/>
        <v>1-5,4803069446655i</v>
      </c>
      <c r="X541" s="160">
        <f t="shared" si="328"/>
        <v>5.5707956530238043</v>
      </c>
      <c r="Y541" s="160">
        <f t="shared" si="329"/>
        <v>-1.390310457537226</v>
      </c>
      <c r="Z541" s="98" t="str">
        <f t="shared" si="319"/>
        <v>-1,38349711002202+2,12272560273813i</v>
      </c>
      <c r="AA541" s="160">
        <f t="shared" si="330"/>
        <v>2.533777464174634</v>
      </c>
      <c r="AB541" s="160">
        <f t="shared" si="331"/>
        <v>2.1484043296255546</v>
      </c>
      <c r="AC541" s="171" t="str">
        <f t="shared" si="332"/>
        <v>-0,00568936641597526+0,0326628943101615i</v>
      </c>
      <c r="AD541" s="190">
        <f t="shared" si="333"/>
        <v>-29.589100229160863</v>
      </c>
      <c r="AE541" s="169">
        <f t="shared" si="334"/>
        <v>99.880896997634466</v>
      </c>
      <c r="AF541" s="98" t="str">
        <f t="shared" si="320"/>
        <v>-0,0000375877424711299</v>
      </c>
      <c r="AG541" s="98" t="str">
        <f t="shared" si="321"/>
        <v>0,0108090944995057i</v>
      </c>
      <c r="AH541" s="98">
        <f t="shared" si="335"/>
        <v>1.0809094499505701E-2</v>
      </c>
      <c r="AI541" s="98">
        <f t="shared" si="336"/>
        <v>1.5707963267948966</v>
      </c>
      <c r="AJ541" s="98" t="str">
        <f t="shared" si="322"/>
        <v>1+9,85930431686922i</v>
      </c>
      <c r="AK541" s="98">
        <f t="shared" si="337"/>
        <v>9.909888072659351</v>
      </c>
      <c r="AL541" s="98">
        <f t="shared" si="338"/>
        <v>1.4697149693089155</v>
      </c>
      <c r="AM541" s="98" t="str">
        <f t="shared" si="323"/>
        <v>1+768,267328691426i</v>
      </c>
      <c r="AN541" s="98">
        <f t="shared" si="339"/>
        <v>768.26797950627861</v>
      </c>
      <c r="AO541" s="98">
        <f t="shared" si="340"/>
        <v>1.5694946972736248</v>
      </c>
      <c r="AP541" s="168" t="str">
        <f t="shared" si="341"/>
        <v>-0,0268548264225975+0,268247324326402i</v>
      </c>
      <c r="AQ541" s="98">
        <f t="shared" si="342"/>
        <v>-11.385981754655619</v>
      </c>
      <c r="AR541" s="169">
        <f t="shared" si="343"/>
        <v>95.716957293341309</v>
      </c>
      <c r="AS541" s="168" t="str">
        <f t="shared" si="344"/>
        <v>-0,00860894705590131-0,00240331367535689i</v>
      </c>
      <c r="AT541" s="190">
        <f t="shared" si="345"/>
        <v>-40.97508198381648</v>
      </c>
      <c r="AU541" s="169">
        <f t="shared" si="346"/>
        <v>-164.40214570902421</v>
      </c>
      <c r="AV541" s="225"/>
      <c r="AX541">
        <f t="shared" si="347"/>
        <v>0</v>
      </c>
      <c r="AY541">
        <f t="shared" si="348"/>
        <v>0</v>
      </c>
    </row>
    <row r="542" spans="14:51" x14ac:dyDescent="0.25">
      <c r="N542" s="170">
        <v>24</v>
      </c>
      <c r="O542" s="199">
        <f t="shared" si="314"/>
        <v>1737800.8287493798</v>
      </c>
      <c r="P542" s="189" t="str">
        <f t="shared" si="315"/>
        <v>120,833333333333</v>
      </c>
      <c r="Q542" s="160" t="str">
        <f t="shared" si="316"/>
        <v>1+9736,04113198568i</v>
      </c>
      <c r="R542" s="160">
        <f t="shared" si="324"/>
        <v>9736.0411833412563</v>
      </c>
      <c r="S542" s="160">
        <f t="shared" si="325"/>
        <v>1.570693615643318</v>
      </c>
      <c r="T542" s="160" t="str">
        <f t="shared" si="317"/>
        <v>1+0,655135478040155i</v>
      </c>
      <c r="U542" s="160">
        <f t="shared" si="326"/>
        <v>1.1954925740408857</v>
      </c>
      <c r="V542" s="160">
        <f t="shared" si="327"/>
        <v>0.57997693103449244</v>
      </c>
      <c r="W542" s="98" t="str">
        <f t="shared" si="318"/>
        <v>1-5,60795969202373i</v>
      </c>
      <c r="X542" s="160">
        <f t="shared" si="328"/>
        <v>5.6964209735028266</v>
      </c>
      <c r="Y542" s="160">
        <f t="shared" si="329"/>
        <v>-1.3943331055477715</v>
      </c>
      <c r="Z542" s="98" t="str">
        <f t="shared" si="319"/>
        <v>-1,49582786810086+2,17217023381686i</v>
      </c>
      <c r="AA542" s="160">
        <f t="shared" si="330"/>
        <v>2.6373897200958289</v>
      </c>
      <c r="AB542" s="160">
        <f t="shared" si="331"/>
        <v>2.1738525502825823</v>
      </c>
      <c r="AC542" s="171" t="str">
        <f t="shared" si="332"/>
        <v>-0,00489940167705248+0,0316696456931364i</v>
      </c>
      <c r="AD542" s="190">
        <f t="shared" si="333"/>
        <v>-29.884419912217325</v>
      </c>
      <c r="AE542" s="169">
        <f t="shared" si="334"/>
        <v>98.794136680521845</v>
      </c>
      <c r="AF542" s="98" t="str">
        <f t="shared" si="320"/>
        <v>-0,0000375877424711299</v>
      </c>
      <c r="AG542" s="98" t="str">
        <f t="shared" si="321"/>
        <v>0,0110608706542446i</v>
      </c>
      <c r="AH542" s="98">
        <f t="shared" si="335"/>
        <v>1.10608706542446E-2</v>
      </c>
      <c r="AI542" s="98">
        <f t="shared" si="336"/>
        <v>1.5707963267948966</v>
      </c>
      <c r="AJ542" s="98" t="str">
        <f t="shared" si="322"/>
        <v>1+10,0889570162156i</v>
      </c>
      <c r="AK542" s="98">
        <f t="shared" si="337"/>
        <v>10.138395024610453</v>
      </c>
      <c r="AL542" s="98">
        <f t="shared" si="338"/>
        <v>1.472000746920209</v>
      </c>
      <c r="AM542" s="98" t="str">
        <f t="shared" si="323"/>
        <v>1+786,162573648187i</v>
      </c>
      <c r="AN542" s="98">
        <f t="shared" si="339"/>
        <v>786.16320964869703</v>
      </c>
      <c r="AO542" s="98">
        <f t="shared" si="340"/>
        <v>1.5695243259464833</v>
      </c>
      <c r="AP542" s="168" t="str">
        <f t="shared" si="341"/>
        <v>-0,0256579190675428+0,262259905144037i</v>
      </c>
      <c r="AQ542" s="98">
        <f t="shared" si="342"/>
        <v>-11.583991273087676</v>
      </c>
      <c r="AR542" s="169">
        <f t="shared" si="343"/>
        <v>95.587689481216088</v>
      </c>
      <c r="AS542" s="168" t="str">
        <f t="shared" si="344"/>
        <v>-0,00817996982371802-0,00209749382517857i</v>
      </c>
      <c r="AT542" s="190">
        <f t="shared" si="345"/>
        <v>-41.468411185304994</v>
      </c>
      <c r="AU542" s="169">
        <f t="shared" si="346"/>
        <v>-165.61817383826207</v>
      </c>
      <c r="AV542" s="225"/>
      <c r="AX542">
        <f t="shared" si="347"/>
        <v>0</v>
      </c>
      <c r="AY542">
        <f t="shared" si="348"/>
        <v>0</v>
      </c>
    </row>
    <row r="543" spans="14:51" x14ac:dyDescent="0.25">
      <c r="N543" s="170">
        <v>25</v>
      </c>
      <c r="O543" s="199">
        <f t="shared" si="314"/>
        <v>1778279.4100389241</v>
      </c>
      <c r="P543" s="189" t="str">
        <f t="shared" si="315"/>
        <v>120,833333333333</v>
      </c>
      <c r="Q543" s="160" t="str">
        <f t="shared" si="316"/>
        <v>1+9962,82266291808i</v>
      </c>
      <c r="R543" s="160">
        <f t="shared" si="324"/>
        <v>9962.8227131046606</v>
      </c>
      <c r="S543" s="160">
        <f t="shared" si="325"/>
        <v>1.5706959536345508</v>
      </c>
      <c r="T543" s="160" t="str">
        <f t="shared" si="317"/>
        <v>1+0,670395543672989i</v>
      </c>
      <c r="U543" s="160">
        <f t="shared" si="326"/>
        <v>1.2039228318196322</v>
      </c>
      <c r="V543" s="160">
        <f t="shared" si="327"/>
        <v>0.59057969284510203</v>
      </c>
      <c r="W543" s="98" t="str">
        <f t="shared" si="318"/>
        <v>1-5,73858585384079i</v>
      </c>
      <c r="X543" s="160">
        <f t="shared" si="328"/>
        <v>5.8250637423037377</v>
      </c>
      <c r="Y543" s="160">
        <f t="shared" si="329"/>
        <v>-1.3982697711822523</v>
      </c>
      <c r="Z543" s="98" t="str">
        <f t="shared" si="319"/>
        <v>-1,6134526117094+2,22276657830563i</v>
      </c>
      <c r="AA543" s="160">
        <f t="shared" si="330"/>
        <v>2.7466198484436108</v>
      </c>
      <c r="AB543" s="160">
        <f t="shared" si="331"/>
        <v>2.1986783822708049</v>
      </c>
      <c r="AC543" s="171" t="str">
        <f t="shared" si="332"/>
        <v>-0,00417787503694236+0,0306843109762437i</v>
      </c>
      <c r="AD543" s="190">
        <f t="shared" si="333"/>
        <v>-30.181897346643506</v>
      </c>
      <c r="AE543" s="169">
        <f t="shared" si="334"/>
        <v>97.753526504386031</v>
      </c>
      <c r="AF543" s="98" t="str">
        <f t="shared" si="320"/>
        <v>-0,0000375877424711299</v>
      </c>
      <c r="AG543" s="98" t="str">
        <f t="shared" si="321"/>
        <v>0,0113185114290124i</v>
      </c>
      <c r="AH543" s="98">
        <f t="shared" si="335"/>
        <v>1.13185114290124E-2</v>
      </c>
      <c r="AI543" s="98">
        <f t="shared" si="336"/>
        <v>1.5707963267948966</v>
      </c>
      <c r="AJ543" s="98" t="str">
        <f t="shared" si="322"/>
        <v>1+10,3239590141151i</v>
      </c>
      <c r="AK543" s="98">
        <f t="shared" si="337"/>
        <v>10.372276978808868</v>
      </c>
      <c r="AL543" s="98">
        <f t="shared" si="338"/>
        <v>1.4742354951488115</v>
      </c>
      <c r="AM543" s="98" t="str">
        <f t="shared" si="323"/>
        <v>1+804,474652407587i</v>
      </c>
      <c r="AN543" s="98">
        <f t="shared" si="339"/>
        <v>804.47527393096914</v>
      </c>
      <c r="AO543" s="98">
        <f t="shared" si="340"/>
        <v>1.5695532801905663</v>
      </c>
      <c r="AP543" s="168" t="str">
        <f t="shared" si="341"/>
        <v>-0,0245138563756908+0,256400957147124i</v>
      </c>
      <c r="AQ543" s="98">
        <f t="shared" si="342"/>
        <v>-11.782089525662922</v>
      </c>
      <c r="AR543" s="169">
        <f t="shared" si="343"/>
        <v>95.461306795427802</v>
      </c>
      <c r="AS543" s="168" t="str">
        <f t="shared" si="344"/>
        <v>-0,0077650708750977-0,00182340195057177i</v>
      </c>
      <c r="AT543" s="190">
        <f t="shared" si="345"/>
        <v>-41.963986872306421</v>
      </c>
      <c r="AU543" s="169">
        <f t="shared" si="346"/>
        <v>-166.78516670018615</v>
      </c>
      <c r="AV543" s="225"/>
      <c r="AX543">
        <f t="shared" si="347"/>
        <v>0</v>
      </c>
      <c r="AY543">
        <f t="shared" si="348"/>
        <v>0</v>
      </c>
    </row>
    <row r="544" spans="14:51" x14ac:dyDescent="0.25">
      <c r="N544" s="170">
        <v>26</v>
      </c>
      <c r="O544" s="199">
        <f t="shared" si="314"/>
        <v>1819700.8586099846</v>
      </c>
      <c r="P544" s="189" t="str">
        <f t="shared" si="315"/>
        <v>120,833333333333</v>
      </c>
      <c r="Q544" s="160" t="str">
        <f t="shared" si="316"/>
        <v>1+10194,8866143i</v>
      </c>
      <c r="R544" s="160">
        <f t="shared" si="324"/>
        <v>10194.886663344192</v>
      </c>
      <c r="S544" s="160">
        <f t="shared" si="325"/>
        <v>1.5706982384066068</v>
      </c>
      <c r="T544" s="160" t="str">
        <f t="shared" si="317"/>
        <v>1+0,686011061896817i</v>
      </c>
      <c r="U544" s="160">
        <f t="shared" si="326"/>
        <v>1.2126875842709031</v>
      </c>
      <c r="V544" s="160">
        <f t="shared" si="327"/>
        <v>0.60127558709264906</v>
      </c>
      <c r="W544" s="98" t="str">
        <f t="shared" si="318"/>
        <v>1-5,87225468983675i</v>
      </c>
      <c r="X544" s="160">
        <f t="shared" si="328"/>
        <v>5.9567923534658904</v>
      </c>
      <c r="Y544" s="160">
        <f t="shared" si="329"/>
        <v>-1.4021220534077041</v>
      </c>
      <c r="Z544" s="98" t="str">
        <f t="shared" si="319"/>
        <v>-1,7366208386991+2,27454146305602i</v>
      </c>
      <c r="AA544" s="160">
        <f t="shared" si="330"/>
        <v>2.8617111672153404</v>
      </c>
      <c r="AB544" s="160">
        <f t="shared" si="331"/>
        <v>2.2228839398266906</v>
      </c>
      <c r="AC544" s="171" t="str">
        <f t="shared" si="332"/>
        <v>-0,00352101849179398+0,0297105977310006i</v>
      </c>
      <c r="AD544" s="190">
        <f t="shared" si="333"/>
        <v>-30.481201031231635</v>
      </c>
      <c r="AE544" s="169">
        <f t="shared" si="334"/>
        <v>96.758629393368039</v>
      </c>
      <c r="AF544" s="98" t="str">
        <f t="shared" si="320"/>
        <v>-0,0000375877424711299</v>
      </c>
      <c r="AG544" s="98" t="str">
        <f t="shared" si="321"/>
        <v>0,011582153428358i</v>
      </c>
      <c r="AH544" s="98">
        <f t="shared" si="335"/>
        <v>1.1582153428358E-2</v>
      </c>
      <c r="AI544" s="98">
        <f t="shared" si="336"/>
        <v>1.5707963267948966</v>
      </c>
      <c r="AJ544" s="98" t="str">
        <f t="shared" si="322"/>
        <v>1+10,5644349117377i</v>
      </c>
      <c r="AK544" s="98">
        <f t="shared" si="337"/>
        <v>10.611657976223242</v>
      </c>
      <c r="AL544" s="98">
        <f t="shared" si="338"/>
        <v>1.4764203095543091</v>
      </c>
      <c r="AM544" s="98" t="str">
        <f t="shared" si="323"/>
        <v>1+823,213274276181i</v>
      </c>
      <c r="AN544" s="98">
        <f t="shared" si="339"/>
        <v>823.21388165197425</v>
      </c>
      <c r="AO544" s="98">
        <f t="shared" si="340"/>
        <v>1.5695815753576028</v>
      </c>
      <c r="AP544" s="168" t="str">
        <f t="shared" si="341"/>
        <v>-0,0234203489080104+0,250668067185705i</v>
      </c>
      <c r="AQ544" s="98">
        <f t="shared" si="342"/>
        <v>-11.980272592997089</v>
      </c>
      <c r="AR544" s="169">
        <f t="shared" si="343"/>
        <v>95.337747344625157</v>
      </c>
      <c r="AS544" s="168" t="str">
        <f t="shared" si="344"/>
        <v>-0,00736503462657254-0,0015784394649887i</v>
      </c>
      <c r="AT544" s="190">
        <f t="shared" si="345"/>
        <v>-42.461473624228731</v>
      </c>
      <c r="AU544" s="169">
        <f t="shared" si="346"/>
        <v>-167.90362326200682</v>
      </c>
      <c r="AV544" s="225"/>
      <c r="AX544">
        <f t="shared" si="347"/>
        <v>0</v>
      </c>
      <c r="AY544">
        <f t="shared" si="348"/>
        <v>0</v>
      </c>
    </row>
    <row r="545" spans="14:51" x14ac:dyDescent="0.25">
      <c r="N545" s="170">
        <v>27</v>
      </c>
      <c r="O545" s="199">
        <f t="shared" si="314"/>
        <v>1862087.1366628683</v>
      </c>
      <c r="P545" s="189" t="str">
        <f t="shared" si="315"/>
        <v>120,833333333333</v>
      </c>
      <c r="Q545" s="160" t="str">
        <f t="shared" si="316"/>
        <v>1+10432,35602951i</v>
      </c>
      <c r="R545" s="160">
        <f t="shared" si="324"/>
        <v>10432.356077437813</v>
      </c>
      <c r="S545" s="160">
        <f t="shared" si="325"/>
        <v>1.5707004711709025</v>
      </c>
      <c r="T545" s="160" t="str">
        <f t="shared" si="317"/>
        <v>1+0,701990312266091i</v>
      </c>
      <c r="U545" s="160">
        <f t="shared" si="326"/>
        <v>1.2217980187066289</v>
      </c>
      <c r="V545" s="160">
        <f t="shared" si="327"/>
        <v>0.61206049579227662</v>
      </c>
      <c r="W545" s="98" t="str">
        <f t="shared" si="318"/>
        <v>1-6,00903707299774i</v>
      </c>
      <c r="X545" s="160">
        <f t="shared" si="328"/>
        <v>6.0916768253627209</v>
      </c>
      <c r="Y545" s="160">
        <f t="shared" si="329"/>
        <v>-1.4058915371810106</v>
      </c>
      <c r="Z545" s="98" t="str">
        <f t="shared" si="319"/>
        <v>-1,86559380539281+2,32752233979724i</v>
      </c>
      <c r="AA545" s="160">
        <f t="shared" si="330"/>
        <v>2.982918116371156</v>
      </c>
      <c r="AB545" s="160">
        <f t="shared" si="331"/>
        <v>2.2464733776465238</v>
      </c>
      <c r="AC545" s="171" t="str">
        <f t="shared" si="332"/>
        <v>-0,00292499311148119+0,0287516955612541i</v>
      </c>
      <c r="AD545" s="190">
        <f t="shared" si="333"/>
        <v>-30.782014117733667</v>
      </c>
      <c r="AE545" s="169">
        <f t="shared" si="334"/>
        <v>95.808880477003555</v>
      </c>
      <c r="AF545" s="98" t="str">
        <f t="shared" si="320"/>
        <v>-0,0000375877424711299</v>
      </c>
      <c r="AG545" s="98" t="str">
        <f t="shared" si="321"/>
        <v>0,0118519364387592i</v>
      </c>
      <c r="AH545" s="98">
        <f t="shared" si="335"/>
        <v>1.18519364387592E-2</v>
      </c>
      <c r="AI545" s="98">
        <f t="shared" si="336"/>
        <v>1.5707963267948966</v>
      </c>
      <c r="AJ545" s="98" t="str">
        <f t="shared" si="322"/>
        <v>1+10,8105122125874i</v>
      </c>
      <c r="AK545" s="98">
        <f t="shared" si="337"/>
        <v>10.85666497127462</v>
      </c>
      <c r="AL545" s="98">
        <f t="shared" si="338"/>
        <v>1.4785562650760915</v>
      </c>
      <c r="AM545" s="98" t="str">
        <f t="shared" si="323"/>
        <v>1+842,38837471931i</v>
      </c>
      <c r="AN545" s="98">
        <f t="shared" si="339"/>
        <v>842.38896826955215</v>
      </c>
      <c r="AO545" s="98">
        <f t="shared" si="340"/>
        <v>1.5696092264498835</v>
      </c>
      <c r="AP545" s="168" t="str">
        <f t="shared" si="341"/>
        <v>-0,0223752025963264+0,245058844063051i</v>
      </c>
      <c r="AQ545" s="98">
        <f t="shared" si="342"/>
        <v>-12.17853672565621</v>
      </c>
      <c r="AR545" s="169">
        <f t="shared" si="343"/>
        <v>95.216950398885999</v>
      </c>
      <c r="AS545" s="168" t="str">
        <f t="shared" si="344"/>
        <v>-0,00698040996563143-0,00136012044396293i</v>
      </c>
      <c r="AT545" s="190">
        <f t="shared" si="345"/>
        <v>-42.960550843389875</v>
      </c>
      <c r="AU545" s="169">
        <f t="shared" si="346"/>
        <v>-168.9741691241104</v>
      </c>
      <c r="AV545" s="225"/>
      <c r="AX545">
        <f t="shared" si="347"/>
        <v>0</v>
      </c>
      <c r="AY545">
        <f t="shared" si="348"/>
        <v>0</v>
      </c>
    </row>
    <row r="546" spans="14:51" x14ac:dyDescent="0.25">
      <c r="N546" s="170">
        <v>28</v>
      </c>
      <c r="O546" s="199">
        <f t="shared" si="314"/>
        <v>1905460.7179632513</v>
      </c>
      <c r="P546" s="189" t="str">
        <f t="shared" si="315"/>
        <v>120,833333333333</v>
      </c>
      <c r="Q546" s="160" t="str">
        <f t="shared" si="316"/>
        <v>1+10675,3568179756i</v>
      </c>
      <c r="R546" s="160">
        <f t="shared" si="324"/>
        <v>10675.356864812442</v>
      </c>
      <c r="S546" s="160">
        <f t="shared" si="325"/>
        <v>1.5707026531112787</v>
      </c>
      <c r="T546" s="160" t="str">
        <f t="shared" si="317"/>
        <v>1+0,718341767190875i</v>
      </c>
      <c r="U546" s="160">
        <f t="shared" si="326"/>
        <v>1.231265566192326</v>
      </c>
      <c r="V546" s="160">
        <f t="shared" si="327"/>
        <v>0.62293010180879183</v>
      </c>
      <c r="W546" s="98" t="str">
        <f t="shared" si="318"/>
        <v>1-6,14900552715389i</v>
      </c>
      <c r="X546" s="160">
        <f t="shared" si="328"/>
        <v>6.229788838553767</v>
      </c>
      <c r="Y546" s="160">
        <f t="shared" si="329"/>
        <v>-1.4095797924316689</v>
      </c>
      <c r="Z546" s="98" t="str">
        <f t="shared" si="319"/>
        <v>-2,00064508074468+2,38173729969144i</v>
      </c>
      <c r="AA546" s="160">
        <f t="shared" si="330"/>
        <v>3.1105069207203764</v>
      </c>
      <c r="AB546" s="160">
        <f t="shared" si="331"/>
        <v>2.2694526433881532</v>
      </c>
      <c r="AC546" s="171" t="str">
        <f t="shared" si="332"/>
        <v>-0,00238594531675916+0,0278103065610077i</v>
      </c>
      <c r="AD546" s="190">
        <f t="shared" si="333"/>
        <v>-31.084035145846201</v>
      </c>
      <c r="AE546" s="169">
        <f t="shared" si="334"/>
        <v>94.903601607810458</v>
      </c>
      <c r="AF546" s="98" t="str">
        <f t="shared" si="320"/>
        <v>-0,0000375877424711299</v>
      </c>
      <c r="AG546" s="98" t="str">
        <f t="shared" si="321"/>
        <v>0,0121280035027393i</v>
      </c>
      <c r="AH546" s="98">
        <f t="shared" si="335"/>
        <v>1.21280035027393E-2</v>
      </c>
      <c r="AI546" s="98">
        <f t="shared" si="336"/>
        <v>1.5707963267948966</v>
      </c>
      <c r="AJ546" s="98" t="str">
        <f t="shared" si="322"/>
        <v>1+11,0623213901063i</v>
      </c>
      <c r="AK546" s="98">
        <f t="shared" si="337"/>
        <v>11.107427899293489</v>
      </c>
      <c r="AL546" s="98">
        <f t="shared" si="338"/>
        <v>1.4806444162239794</v>
      </c>
      <c r="AM546" s="98" t="str">
        <f t="shared" si="323"/>
        <v>1+862,010120629051i</v>
      </c>
      <c r="AN546" s="98">
        <f t="shared" si="339"/>
        <v>862.01070066844943</v>
      </c>
      <c r="AO546" s="98">
        <f t="shared" si="340"/>
        <v>1.5696362481282147</v>
      </c>
      <c r="AP546" s="168" t="str">
        <f t="shared" si="341"/>
        <v>-0,0213763151059409+0,239570920115085i</v>
      </c>
      <c r="AQ546" s="98">
        <f t="shared" si="342"/>
        <v>-12.376878337063763</v>
      </c>
      <c r="AR546" s="169">
        <f t="shared" si="343"/>
        <v>95.098856379250364</v>
      </c>
      <c r="AS546" s="168" t="str">
        <f t="shared" si="344"/>
        <v>-0,00661153801258661-0,00116608499112119i</v>
      </c>
      <c r="AT546" s="190">
        <f t="shared" si="345"/>
        <v>-43.460913482909973</v>
      </c>
      <c r="AU546" s="169">
        <f t="shared" si="346"/>
        <v>-169.99754201293911</v>
      </c>
      <c r="AV546" s="225"/>
      <c r="AX546">
        <f t="shared" si="347"/>
        <v>0</v>
      </c>
      <c r="AY546">
        <f t="shared" si="348"/>
        <v>0</v>
      </c>
    </row>
    <row r="547" spans="14:51" x14ac:dyDescent="0.25">
      <c r="N547" s="170">
        <v>29</v>
      </c>
      <c r="O547" s="199">
        <f t="shared" si="314"/>
        <v>1949844.5997580495</v>
      </c>
      <c r="P547" s="189" t="str">
        <f t="shared" si="315"/>
        <v>120,833333333333</v>
      </c>
      <c r="Q547" s="160" t="str">
        <f t="shared" si="316"/>
        <v>1+10924,0178219309i</v>
      </c>
      <c r="R547" s="160">
        <f t="shared" si="324"/>
        <v>10924.017867701605</v>
      </c>
      <c r="S547" s="160">
        <f t="shared" si="325"/>
        <v>1.5707047853846292</v>
      </c>
      <c r="T547" s="160" t="str">
        <f t="shared" si="317"/>
        <v>1+0,73507409642899i</v>
      </c>
      <c r="U547" s="160">
        <f t="shared" si="326"/>
        <v>1.2411019004259465</v>
      </c>
      <c r="V547" s="160">
        <f t="shared" si="327"/>
        <v>0.63387989471272033</v>
      </c>
      <c r="W547" s="98" t="str">
        <f t="shared" si="318"/>
        <v>1-6,29223426543216i</v>
      </c>
      <c r="X547" s="160">
        <f t="shared" si="328"/>
        <v>6.3712017744754084</v>
      </c>
      <c r="Y547" s="160">
        <f t="shared" si="329"/>
        <v>-1.4131883731407797</v>
      </c>
      <c r="Z547" s="98" t="str">
        <f t="shared" si="319"/>
        <v>-2,1420611266162+2,43721508822792i</v>
      </c>
      <c r="AA547" s="160">
        <f t="shared" si="330"/>
        <v>3.2447562707306834</v>
      </c>
      <c r="AB547" s="160">
        <f t="shared" si="331"/>
        <v>2.291829241442807</v>
      </c>
      <c r="AC547" s="171" t="str">
        <f t="shared" si="332"/>
        <v>-0,00190005468280021+0,0268886796357037i</v>
      </c>
      <c r="AD547" s="190">
        <f t="shared" si="333"/>
        <v>-31.386978522190905</v>
      </c>
      <c r="AE547" s="169">
        <f t="shared" si="334"/>
        <v>94.042015284427507</v>
      </c>
      <c r="AF547" s="98" t="str">
        <f t="shared" si="320"/>
        <v>-0,0000375877424711299</v>
      </c>
      <c r="AG547" s="98" t="str">
        <f t="shared" si="321"/>
        <v>0,0124105009947095i</v>
      </c>
      <c r="AH547" s="98">
        <f t="shared" si="335"/>
        <v>1.24105009947095E-2</v>
      </c>
      <c r="AI547" s="98">
        <f t="shared" si="336"/>
        <v>1.5707963267948966</v>
      </c>
      <c r="AJ547" s="98" t="str">
        <f t="shared" si="322"/>
        <v>1+11,3199959568532i</v>
      </c>
      <c r="AK547" s="98">
        <f t="shared" si="337"/>
        <v>11.364079745547933</v>
      </c>
      <c r="AL547" s="98">
        <f t="shared" si="338"/>
        <v>1.4826857972821115</v>
      </c>
      <c r="AM547" s="98" t="str">
        <f t="shared" si="323"/>
        <v>1+882,08891571479i</v>
      </c>
      <c r="AN547" s="98">
        <f t="shared" si="339"/>
        <v>882.08948255088831</v>
      </c>
      <c r="AO547" s="98">
        <f t="shared" si="340"/>
        <v>1.5696626547196892</v>
      </c>
      <c r="AP547" s="168" t="str">
        <f t="shared" si="341"/>
        <v>-0,0204216723068534+0,234201952627961i</v>
      </c>
      <c r="AQ547" s="98">
        <f t="shared" si="342"/>
        <v>-12.575293996679786</v>
      </c>
      <c r="AR547" s="169">
        <f t="shared" si="343"/>
        <v>94.983406846484257</v>
      </c>
      <c r="AS547" s="168" t="str">
        <f t="shared" si="344"/>
        <v>-0,00625857898017225-0,000994108321096013i</v>
      </c>
      <c r="AT547" s="190">
        <f t="shared" si="345"/>
        <v>-43.962272518870691</v>
      </c>
      <c r="AU547" s="169">
        <f t="shared" si="346"/>
        <v>-170.97457786908822</v>
      </c>
      <c r="AV547" s="225"/>
      <c r="AX547">
        <f t="shared" si="347"/>
        <v>0</v>
      </c>
      <c r="AY547">
        <f t="shared" si="348"/>
        <v>0</v>
      </c>
    </row>
    <row r="548" spans="14:51" x14ac:dyDescent="0.25">
      <c r="N548" s="170">
        <v>30</v>
      </c>
      <c r="O548" s="199">
        <f t="shared" si="314"/>
        <v>1995262.31496888</v>
      </c>
      <c r="P548" s="189" t="str">
        <f t="shared" si="315"/>
        <v>120,833333333333</v>
      </c>
      <c r="Q548" s="160" t="str">
        <f t="shared" si="316"/>
        <v>1+11178,470884732i</v>
      </c>
      <c r="R548" s="160">
        <f t="shared" si="324"/>
        <v>11178.470929460836</v>
      </c>
      <c r="S548" s="160">
        <f t="shared" si="325"/>
        <v>1.5707068691215131</v>
      </c>
      <c r="T548" s="160" t="str">
        <f t="shared" si="317"/>
        <v>1+0,752196171682895i</v>
      </c>
      <c r="U548" s="160">
        <f t="shared" si="326"/>
        <v>1.2513189364404278</v>
      </c>
      <c r="V548" s="160">
        <f t="shared" si="327"/>
        <v>0.64490517763011335</v>
      </c>
      <c r="W548" s="98" t="str">
        <f t="shared" si="318"/>
        <v>1-6,43879922960558i</v>
      </c>
      <c r="X548" s="160">
        <f t="shared" si="328"/>
        <v>6.5159907549941645</v>
      </c>
      <c r="Y548" s="160">
        <f t="shared" si="329"/>
        <v>-1.4167188165108218</v>
      </c>
      <c r="Z548" s="98" t="str">
        <f t="shared" si="319"/>
        <v>-2,29014190540081+2,49398512046455i</v>
      </c>
      <c r="AA548" s="160">
        <f t="shared" si="330"/>
        <v>3.3859580221809349</v>
      </c>
      <c r="AB548" s="160">
        <f t="shared" si="331"/>
        <v>2.3136120103304947</v>
      </c>
      <c r="AC548" s="171" t="str">
        <f t="shared" si="332"/>
        <v>-0,00146357363680552+0,0259886471726103i</v>
      </c>
      <c r="AD548" s="190">
        <f t="shared" si="333"/>
        <v>-31.690574776177677</v>
      </c>
      <c r="AE548" s="169">
        <f t="shared" si="334"/>
        <v>93.223257845915882</v>
      </c>
      <c r="AF548" s="98" t="str">
        <f t="shared" si="320"/>
        <v>-0,0000375877424711299</v>
      </c>
      <c r="AG548" s="98" t="str">
        <f t="shared" si="321"/>
        <v>0,0126995786985796i</v>
      </c>
      <c r="AH548" s="98">
        <f t="shared" si="335"/>
        <v>1.26995786985796E-2</v>
      </c>
      <c r="AI548" s="98">
        <f t="shared" si="336"/>
        <v>1.5707963267948966</v>
      </c>
      <c r="AJ548" s="98" t="str">
        <f t="shared" si="322"/>
        <v>1+11,5836725352943i</v>
      </c>
      <c r="AK548" s="98">
        <f t="shared" si="337"/>
        <v>11.626756615880952</v>
      </c>
      <c r="AL548" s="98">
        <f t="shared" si="338"/>
        <v>1.4846814225247256</v>
      </c>
      <c r="AM548" s="98" t="str">
        <f t="shared" si="323"/>
        <v>1+902,635406019474i</v>
      </c>
      <c r="AN548" s="98">
        <f t="shared" si="339"/>
        <v>902.63595995281548</v>
      </c>
      <c r="AO548" s="98">
        <f t="shared" si="340"/>
        <v>1.5696884602252845</v>
      </c>
      <c r="AP548" s="168" t="str">
        <f t="shared" si="341"/>
        <v>-0,0195093448532175+0,22894962510453i</v>
      </c>
      <c r="AQ548" s="98">
        <f t="shared" si="342"/>
        <v>-12.773780423443997</v>
      </c>
      <c r="AR548" s="169">
        <f t="shared" si="343"/>
        <v>94.870544489151499</v>
      </c>
      <c r="AS548" s="168" t="str">
        <f t="shared" si="344"/>
        <v>-0,00592153766434452-0,000842106115418548i</v>
      </c>
      <c r="AT548" s="190">
        <f t="shared" si="345"/>
        <v>-44.464355199621664</v>
      </c>
      <c r="AU548" s="169">
        <f t="shared" si="346"/>
        <v>-171.90619766493262</v>
      </c>
      <c r="AV548" s="225"/>
      <c r="AX548">
        <f t="shared" si="347"/>
        <v>0</v>
      </c>
      <c r="AY548">
        <f t="shared" si="348"/>
        <v>0</v>
      </c>
    </row>
    <row r="549" spans="14:51" x14ac:dyDescent="0.25">
      <c r="N549" s="170">
        <v>31</v>
      </c>
      <c r="O549" s="199">
        <f t="shared" si="314"/>
        <v>2041737.9446695296</v>
      </c>
      <c r="P549" s="189" t="str">
        <f t="shared" si="315"/>
        <v>120,833333333333</v>
      </c>
      <c r="Q549" s="160" t="str">
        <f t="shared" si="316"/>
        <v>1+11438,8509207606i</v>
      </c>
      <c r="R549" s="160">
        <f t="shared" si="324"/>
        <v>11438.850964471283</v>
      </c>
      <c r="S549" s="160">
        <f t="shared" si="325"/>
        <v>1.5707089054267558</v>
      </c>
      <c r="T549" s="160" t="str">
        <f t="shared" si="317"/>
        <v>1+0,769717071303514i</v>
      </c>
      <c r="U549" s="160">
        <f t="shared" si="326"/>
        <v>1.2619288291564064</v>
      </c>
      <c r="V549" s="160">
        <f t="shared" si="327"/>
        <v>0.65600107507977234</v>
      </c>
      <c r="W549" s="98" t="str">
        <f t="shared" si="318"/>
        <v>1-6,58877813035809i</v>
      </c>
      <c r="X549" s="160">
        <f t="shared" si="328"/>
        <v>6.6642326828439185</v>
      </c>
      <c r="Y549" s="160">
        <f t="shared" si="329"/>
        <v>-1.4201726422208876</v>
      </c>
      <c r="Z549" s="98" t="str">
        <f t="shared" si="319"/>
        <v>-2,44520151628375+2,55207749662384i</v>
      </c>
      <c r="AA549" s="160">
        <f t="shared" si="330"/>
        <v>3.5344179158682061</v>
      </c>
      <c r="AB549" s="160">
        <f t="shared" si="331"/>
        <v>2.3348109153253689</v>
      </c>
      <c r="AC549" s="171" t="str">
        <f t="shared" si="332"/>
        <v>-0,00107285959461396+0,0251116627799705i</v>
      </c>
      <c r="AD549" s="190">
        <f t="shared" si="333"/>
        <v>-31.994570624767849</v>
      </c>
      <c r="AE549" s="169">
        <f t="shared" si="334"/>
        <v>92.44639184512954</v>
      </c>
      <c r="AF549" s="98" t="str">
        <f t="shared" si="320"/>
        <v>-0,0000375877424711299</v>
      </c>
      <c r="AG549" s="98" t="str">
        <f t="shared" si="321"/>
        <v>0,0129953898871744i</v>
      </c>
      <c r="AH549" s="98">
        <f t="shared" si="335"/>
        <v>1.2995389887174399E-2</v>
      </c>
      <c r="AI549" s="98">
        <f t="shared" si="336"/>
        <v>1.5707963267948966</v>
      </c>
      <c r="AJ549" s="98" t="str">
        <f t="shared" si="322"/>
        <v>1+11,8534909302417i</v>
      </c>
      <c r="AK549" s="98">
        <f t="shared" si="337"/>
        <v>11.895597808993132</v>
      </c>
      <c r="AL549" s="98">
        <f t="shared" si="338"/>
        <v>1.4866322864425392</v>
      </c>
      <c r="AM549" s="98" t="str">
        <f t="shared" si="323"/>
        <v>1+923,660485564218i</v>
      </c>
      <c r="AN549" s="98">
        <f t="shared" si="339"/>
        <v>923.66102688850481</v>
      </c>
      <c r="AO549" s="98">
        <f t="shared" si="340"/>
        <v>1.5697136783272836</v>
      </c>
      <c r="AP549" s="168" t="str">
        <f t="shared" si="341"/>
        <v>-0,0186374848703452+0,223811648389902i</v>
      </c>
      <c r="AQ549" s="98">
        <f t="shared" si="342"/>
        <v>-12.972334479473073</v>
      </c>
      <c r="AR549" s="169">
        <f t="shared" si="343"/>
        <v>94.760213111068339</v>
      </c>
      <c r="AS549" s="168" t="str">
        <f t="shared" si="344"/>
        <v>-0,00560028723613392-0,000708136709492383i</v>
      </c>
      <c r="AT549" s="190">
        <f t="shared" si="345"/>
        <v>-44.966905104240922</v>
      </c>
      <c r="AU549" s="169">
        <f t="shared" si="346"/>
        <v>-172.79339504380212</v>
      </c>
      <c r="AV549" s="225"/>
      <c r="AX549">
        <f t="shared" si="347"/>
        <v>0</v>
      </c>
      <c r="AY549">
        <f t="shared" si="348"/>
        <v>0</v>
      </c>
    </row>
    <row r="550" spans="14:51" x14ac:dyDescent="0.25">
      <c r="N550" s="170">
        <v>32</v>
      </c>
      <c r="O550" s="199">
        <f t="shared" si="314"/>
        <v>2089296.1308540432</v>
      </c>
      <c r="P550" s="189" t="str">
        <f t="shared" si="315"/>
        <v>120,833333333333</v>
      </c>
      <c r="Q550" s="160" t="str">
        <f t="shared" si="316"/>
        <v>1+11705,2959869587i</v>
      </c>
      <c r="R550" s="160">
        <f t="shared" si="324"/>
        <v>11705.296029674408</v>
      </c>
      <c r="S550" s="160">
        <f t="shared" si="325"/>
        <v>1.5707108953800326</v>
      </c>
      <c r="T550" s="160" t="str">
        <f t="shared" si="317"/>
        <v>1+0,787646085103756i</v>
      </c>
      <c r="U550" s="160">
        <f t="shared" si="326"/>
        <v>1.2729439718146567</v>
      </c>
      <c r="V550" s="160">
        <f t="shared" si="327"/>
        <v>0.66716254178292145</v>
      </c>
      <c r="W550" s="98" t="str">
        <f t="shared" si="318"/>
        <v>1-6,74225048848816i</v>
      </c>
      <c r="X550" s="160">
        <f t="shared" si="328"/>
        <v>6.8160062829723715</v>
      </c>
      <c r="Y550" s="160">
        <f t="shared" si="329"/>
        <v>-1.4235513517623413</v>
      </c>
      <c r="Z550" s="98" t="str">
        <f t="shared" si="319"/>
        <v>-2,607568861489+2,6115230180526i</v>
      </c>
      <c r="AA550" s="160">
        <f t="shared" si="330"/>
        <v>3.690456318834515</v>
      </c>
      <c r="AB550" s="160">
        <f t="shared" si="331"/>
        <v>2.3554368572749156</v>
      </c>
      <c r="AC550" s="171" t="str">
        <f t="shared" si="332"/>
        <v>-0,000724400197246288+0,024258839045177i</v>
      </c>
      <c r="AD550" s="190">
        <f t="shared" si="333"/>
        <v>-32.298728876489669</v>
      </c>
      <c r="AE550" s="169">
        <f t="shared" si="334"/>
        <v>91.7104175453549</v>
      </c>
      <c r="AF550" s="98" t="str">
        <f t="shared" si="320"/>
        <v>-0,0000375877424711299</v>
      </c>
      <c r="AG550" s="98" t="str">
        <f t="shared" si="321"/>
        <v>0,0132980914035018i</v>
      </c>
      <c r="AH550" s="98">
        <f t="shared" si="335"/>
        <v>1.3298091403501799E-2</v>
      </c>
      <c r="AI550" s="98">
        <f t="shared" si="336"/>
        <v>1.5707963267948966</v>
      </c>
      <c r="AJ550" s="98" t="str">
        <f t="shared" si="322"/>
        <v>1+12,1295942029799i</v>
      </c>
      <c r="AK550" s="98">
        <f t="shared" si="337"/>
        <v>12.170745890411302</v>
      </c>
      <c r="AL550" s="98">
        <f t="shared" si="338"/>
        <v>1.4885393639785556</v>
      </c>
      <c r="AM550" s="98" t="str">
        <f t="shared" si="323"/>
        <v>1+945,175302124509i</v>
      </c>
      <c r="AN550" s="98">
        <f t="shared" si="339"/>
        <v>945.17583112675766</v>
      </c>
      <c r="AO550" s="98">
        <f t="shared" si="340"/>
        <v>1.5697383223965298</v>
      </c>
      <c r="AP550" s="168" t="str">
        <f t="shared" si="341"/>
        <v>-0,0178043227482491+0,218785761665653i</v>
      </c>
      <c r="AQ550" s="98">
        <f t="shared" si="342"/>
        <v>-13.170953164006033</v>
      </c>
      <c r="AR550" s="169">
        <f t="shared" si="343"/>
        <v>94.652357618208171</v>
      </c>
      <c r="AS550" s="168" t="str">
        <f t="shared" si="344"/>
        <v>-0,00529459112271286-0,000590400648763437i</v>
      </c>
      <c r="AT550" s="190">
        <f t="shared" si="345"/>
        <v>-45.469682040495705</v>
      </c>
      <c r="AU550" s="169">
        <f t="shared" si="346"/>
        <v>-173.6372248364369</v>
      </c>
      <c r="AV550" s="225"/>
      <c r="AX550">
        <f t="shared" si="347"/>
        <v>0</v>
      </c>
      <c r="AY550">
        <f t="shared" si="348"/>
        <v>0</v>
      </c>
    </row>
    <row r="551" spans="14:51" x14ac:dyDescent="0.25">
      <c r="N551" s="170">
        <v>33</v>
      </c>
      <c r="O551" s="199">
        <f t="shared" si="314"/>
        <v>2137962.0895022359</v>
      </c>
      <c r="P551" s="189" t="str">
        <f t="shared" si="315"/>
        <v>120,833333333333</v>
      </c>
      <c r="Q551" s="160" t="str">
        <f t="shared" si="316"/>
        <v>1+11977,9473560268i</v>
      </c>
      <c r="R551" s="160">
        <f t="shared" si="324"/>
        <v>11977.947397770178</v>
      </c>
      <c r="S551" s="160">
        <f t="shared" si="325"/>
        <v>1.5707128400364434</v>
      </c>
      <c r="T551" s="160" t="str">
        <f t="shared" si="317"/>
        <v>1+0,805992719284042i</v>
      </c>
      <c r="U551" s="160">
        <f t="shared" si="326"/>
        <v>1.2843769943201586</v>
      </c>
      <c r="V551" s="160">
        <f t="shared" si="327"/>
        <v>0.67838437242083616</v>
      </c>
      <c r="W551" s="98" t="str">
        <f t="shared" si="318"/>
        <v>1-6,89929767707141i</v>
      </c>
      <c r="X551" s="160">
        <f t="shared" si="328"/>
        <v>6.9713921448189211</v>
      </c>
      <c r="Y551" s="160">
        <f t="shared" si="329"/>
        <v>-1.4268564278499738</v>
      </c>
      <c r="Z551" s="98" t="str">
        <f t="shared" si="319"/>
        <v>-2,7775883439246+2,67235320355311i</v>
      </c>
      <c r="AA551" s="160">
        <f t="shared" si="330"/>
        <v>3.8544089887875641</v>
      </c>
      <c r="AB551" s="160">
        <f t="shared" si="331"/>
        <v>2.3755014980370248</v>
      </c>
      <c r="AC551" s="171" t="str">
        <f t="shared" si="332"/>
        <v>-0,000414832372996959+0,0234309844796154i</v>
      </c>
      <c r="AD551" s="190">
        <f t="shared" si="333"/>
        <v>-32.60282820279425</v>
      </c>
      <c r="AE551" s="169">
        <f t="shared" si="334"/>
        <v>91.014283514806991</v>
      </c>
      <c r="AF551" s="98" t="str">
        <f t="shared" si="320"/>
        <v>-0,0000375877424711299</v>
      </c>
      <c r="AG551" s="98" t="str">
        <f t="shared" si="321"/>
        <v>0,0136078437439123i</v>
      </c>
      <c r="AH551" s="98">
        <f t="shared" si="335"/>
        <v>1.3607843743912299E-2</v>
      </c>
      <c r="AI551" s="98">
        <f t="shared" si="336"/>
        <v>1.5707963267948966</v>
      </c>
      <c r="AJ551" s="98" t="str">
        <f t="shared" si="322"/>
        <v>1+12,4121287471185i</v>
      </c>
      <c r="AK551" s="98">
        <f t="shared" si="337"/>
        <v>12.452346768181709</v>
      </c>
      <c r="AL551" s="98">
        <f t="shared" si="338"/>
        <v>1.4904036107721732</v>
      </c>
      <c r="AM551" s="98" t="str">
        <f t="shared" si="323"/>
        <v>1+967,191263140852i</v>
      </c>
      <c r="AN551" s="98">
        <f t="shared" si="339"/>
        <v>967.19178010154576</v>
      </c>
      <c r="AO551" s="98">
        <f t="shared" si="340"/>
        <v>1.5697624054995145</v>
      </c>
      <c r="AP551" s="168" t="str">
        <f t="shared" si="341"/>
        <v>-0,0170081640404698+0,213869733321796i</v>
      </c>
      <c r="AQ551" s="98">
        <f t="shared" si="342"/>
        <v>-13.369633607587932</v>
      </c>
      <c r="AR551" s="169">
        <f t="shared" si="343"/>
        <v>94.546924005121738</v>
      </c>
      <c r="AS551" s="168" t="str">
        <f t="shared" si="344"/>
        <v>-0,00500412286507326-0,000487238116645108i</v>
      </c>
      <c r="AT551" s="190">
        <f t="shared" si="345"/>
        <v>-45.972461810382171</v>
      </c>
      <c r="AU551" s="169">
        <f t="shared" si="346"/>
        <v>-174.4387924800713</v>
      </c>
      <c r="AV551" s="225"/>
      <c r="AX551">
        <f t="shared" si="347"/>
        <v>0</v>
      </c>
      <c r="AY551">
        <f t="shared" si="348"/>
        <v>0</v>
      </c>
    </row>
    <row r="552" spans="14:51" x14ac:dyDescent="0.25">
      <c r="N552" s="170">
        <v>34</v>
      </c>
      <c r="O552" s="199">
        <f t="shared" si="314"/>
        <v>2187761.6239495561</v>
      </c>
      <c r="P552" s="189" t="str">
        <f t="shared" si="315"/>
        <v>120,833333333333</v>
      </c>
      <c r="Q552" s="160" t="str">
        <f t="shared" si="316"/>
        <v>1+12256,94959133i</v>
      </c>
      <c r="R552" s="160">
        <f t="shared" si="324"/>
        <v>12256.949632123184</v>
      </c>
      <c r="S552" s="160">
        <f t="shared" si="325"/>
        <v>1.5707147404270707</v>
      </c>
      <c r="T552" s="160" t="str">
        <f t="shared" si="317"/>
        <v>1+0,82476670147267i</v>
      </c>
      <c r="U552" s="160">
        <f t="shared" si="326"/>
        <v>1.2962407615324045</v>
      </c>
      <c r="V552" s="160">
        <f t="shared" si="327"/>
        <v>0.68966121230692934</v>
      </c>
      <c r="W552" s="98" t="str">
        <f t="shared" si="318"/>
        <v>1-7,06000296460606i</v>
      </c>
      <c r="X552" s="160">
        <f t="shared" si="328"/>
        <v>7.130472765549726</v>
      </c>
      <c r="Y552" s="160">
        <f t="shared" si="329"/>
        <v>-1.4300893339040066</v>
      </c>
      <c r="Z552" s="98" t="str">
        <f t="shared" si="319"/>
        <v>-2,95562059770777+2,73460030609492i</v>
      </c>
      <c r="AA552" s="160">
        <f t="shared" si="330"/>
        <v>4.0266278635713117</v>
      </c>
      <c r="AB552" s="160">
        <f t="shared" si="331"/>
        <v>2.3950171025206979</v>
      </c>
      <c r="AC552" s="171" t="str">
        <f t="shared" si="332"/>
        <v>-0,000140955973925358+0,0226286390152448i</v>
      </c>
      <c r="AD552" s="190">
        <f t="shared" si="333"/>
        <v>-32.906662802250224</v>
      </c>
      <c r="AE552" s="169">
        <f t="shared" si="334"/>
        <v>90.356896318143157</v>
      </c>
      <c r="AF552" s="98" t="str">
        <f t="shared" si="320"/>
        <v>-0,0000375877424711299</v>
      </c>
      <c r="AG552" s="98" t="str">
        <f t="shared" si="321"/>
        <v>0,0139248111431969i</v>
      </c>
      <c r="AH552" s="98">
        <f t="shared" si="335"/>
        <v>1.3924811143196899E-2</v>
      </c>
      <c r="AI552" s="98">
        <f t="shared" si="336"/>
        <v>1.5707963267948966</v>
      </c>
      <c r="AJ552" s="98" t="str">
        <f t="shared" si="322"/>
        <v>1+12,7012443662129i</v>
      </c>
      <c r="AK552" s="98">
        <f t="shared" si="337"/>
        <v>12.740549770329965</v>
      </c>
      <c r="AL552" s="98">
        <f t="shared" si="338"/>
        <v>1.4922259634105772</v>
      </c>
      <c r="AM552" s="98" t="str">
        <f t="shared" si="323"/>
        <v>1+989,720041767206i</v>
      </c>
      <c r="AN552" s="98">
        <f t="shared" si="339"/>
        <v>989.7205469604437</v>
      </c>
      <c r="AO552" s="98">
        <f t="shared" si="340"/>
        <v>1.5697859404053063</v>
      </c>
      <c r="AP552" s="168" t="str">
        <f t="shared" si="341"/>
        <v>-0,0162473864666868+0,20906136171503i</v>
      </c>
      <c r="AQ552" s="98">
        <f t="shared" si="342"/>
        <v>-13.568373066485899</v>
      </c>
      <c r="AR552" s="169">
        <f t="shared" si="343"/>
        <v>94.443859340929748</v>
      </c>
      <c r="AS552" s="168" t="str">
        <f t="shared" si="344"/>
        <v>-0,00472848392010178-0,000397124691146533i</v>
      </c>
      <c r="AT552" s="190">
        <f t="shared" si="345"/>
        <v>-46.475035868736121</v>
      </c>
      <c r="AU552" s="169">
        <f t="shared" si="346"/>
        <v>-175.19924434092709</v>
      </c>
      <c r="AV552" s="225"/>
      <c r="AX552">
        <f t="shared" si="347"/>
        <v>0</v>
      </c>
      <c r="AY552">
        <f t="shared" si="348"/>
        <v>0</v>
      </c>
    </row>
    <row r="553" spans="14:51" x14ac:dyDescent="0.25">
      <c r="N553" s="170">
        <v>35</v>
      </c>
      <c r="O553" s="199">
        <f t="shared" si="314"/>
        <v>2238721.1385683389</v>
      </c>
      <c r="P553" s="189" t="str">
        <f t="shared" si="315"/>
        <v>120,833333333333</v>
      </c>
      <c r="Q553" s="160" t="str">
        <f t="shared" si="316"/>
        <v>1+12542,4506235464i</v>
      </c>
      <c r="R553" s="160">
        <f t="shared" si="324"/>
        <v>12542.450663411015</v>
      </c>
      <c r="S553" s="160">
        <f t="shared" si="325"/>
        <v>1.5707165975595265</v>
      </c>
      <c r="T553" s="160" t="str">
        <f t="shared" si="317"/>
        <v>1+0,843977985883492i</v>
      </c>
      <c r="U553" s="160">
        <f t="shared" si="326"/>
        <v>1.3085483715384603</v>
      </c>
      <c r="V553" s="160">
        <f t="shared" si="327"/>
        <v>0.70098756893024561</v>
      </c>
      <c r="W553" s="98" t="str">
        <f t="shared" si="318"/>
        <v>1-7,2244515591627i</v>
      </c>
      <c r="X553" s="160">
        <f t="shared" si="328"/>
        <v>7.2933325942732354</v>
      </c>
      <c r="Y553" s="160">
        <f t="shared" si="329"/>
        <v>-1.4332515135984267</v>
      </c>
      <c r="Z553" s="98" t="str">
        <f t="shared" si="319"/>
        <v>-3,14204325311794+2,79829732991572i</v>
      </c>
      <c r="AA553" s="160">
        <f t="shared" si="330"/>
        <v>4.2074818776885321</v>
      </c>
      <c r="AB553" s="160">
        <f t="shared" si="331"/>
        <v>2.4139963969695319</v>
      </c>
      <c r="AC553" s="171" t="str">
        <f t="shared" si="332"/>
        <v>0,000100257273050835+0,0218521075919308i</v>
      </c>
      <c r="AD553" s="190">
        <f t="shared" si="333"/>
        <v>-33.210041980286292</v>
      </c>
      <c r="AE553" s="169">
        <f t="shared" si="334"/>
        <v>89.73712932346109</v>
      </c>
      <c r="AF553" s="98" t="str">
        <f t="shared" si="320"/>
        <v>-0,0000375877424711299</v>
      </c>
      <c r="AG553" s="98" t="str">
        <f t="shared" si="321"/>
        <v>0,0142491616616664i</v>
      </c>
      <c r="AH553" s="98">
        <f t="shared" si="335"/>
        <v>1.42491616616664E-2</v>
      </c>
      <c r="AI553" s="98">
        <f t="shared" si="336"/>
        <v>1.5707963267948966</v>
      </c>
      <c r="AJ553" s="98" t="str">
        <f t="shared" si="322"/>
        <v>1+12,997094353191i</v>
      </c>
      <c r="AK553" s="98">
        <f t="shared" si="337"/>
        <v>13.035507724126031</v>
      </c>
      <c r="AL553" s="98">
        <f t="shared" si="338"/>
        <v>1.4940073396864315</v>
      </c>
      <c r="AM553" s="98" t="str">
        <f t="shared" si="323"/>
        <v>1+1012,77358306019i</v>
      </c>
      <c r="AN553" s="98">
        <f t="shared" si="339"/>
        <v>1012.7740767538314</v>
      </c>
      <c r="AO553" s="98">
        <f t="shared" si="340"/>
        <v>1.5698089395923192</v>
      </c>
      <c r="AP553" s="168" t="str">
        <f t="shared" si="341"/>
        <v>-0,0155204370174437+0,2043584758214i</v>
      </c>
      <c r="AQ553" s="98">
        <f t="shared" si="342"/>
        <v>-13.767168917327098</v>
      </c>
      <c r="AR553" s="169">
        <f t="shared" si="343"/>
        <v>94.343111754946619</v>
      </c>
      <c r="AS553" s="168" t="str">
        <f t="shared" si="344"/>
        <v>-0,00446721943766415-0,000318665836068287i</v>
      </c>
      <c r="AT553" s="190">
        <f t="shared" si="345"/>
        <v>-46.977210897613382</v>
      </c>
      <c r="AU553" s="169">
        <f t="shared" si="346"/>
        <v>-175.91975892159229</v>
      </c>
      <c r="AV553" s="225"/>
      <c r="AX553">
        <f t="shared" si="347"/>
        <v>0</v>
      </c>
      <c r="AY553">
        <f t="shared" si="348"/>
        <v>0</v>
      </c>
    </row>
    <row r="554" spans="14:51" x14ac:dyDescent="0.25">
      <c r="N554" s="170">
        <v>36</v>
      </c>
      <c r="O554" s="199">
        <f t="shared" si="314"/>
        <v>2290867.6527677765</v>
      </c>
      <c r="P554" s="189" t="str">
        <f t="shared" si="315"/>
        <v>120,833333333333</v>
      </c>
      <c r="Q554" s="160" t="str">
        <f t="shared" si="316"/>
        <v>1+12834,6018291025i</v>
      </c>
      <c r="R554" s="160">
        <f t="shared" si="324"/>
        <v>12834.601868059686</v>
      </c>
      <c r="S554" s="160">
        <f t="shared" si="325"/>
        <v>1.5707184124184872</v>
      </c>
      <c r="T554" s="160" t="str">
        <f t="shared" si="317"/>
        <v>1+0,863636758593808i</v>
      </c>
      <c r="U554" s="160">
        <f t="shared" si="326"/>
        <v>1.3213131539473977</v>
      </c>
      <c r="V554" s="160">
        <f t="shared" si="327"/>
        <v>0.71235782431843042</v>
      </c>
      <c r="W554" s="98" t="str">
        <f t="shared" si="318"/>
        <v>1-7,392730653563i</v>
      </c>
      <c r="X554" s="160">
        <f t="shared" si="328"/>
        <v>7.4600580772625369</v>
      </c>
      <c r="Y554" s="160">
        <f t="shared" si="329"/>
        <v>-1.4363443904713979</v>
      </c>
      <c r="Z554" s="98" t="str">
        <f t="shared" si="319"/>
        <v>-3,33725173760147+2,86347804802072i</v>
      </c>
      <c r="AA554" s="160">
        <f t="shared" si="330"/>
        <v>4.3973578080047782</v>
      </c>
      <c r="AB554" s="160">
        <f t="shared" si="331"/>
        <v>2.4324524428644447</v>
      </c>
      <c r="AC554" s="171" t="str">
        <f t="shared" si="332"/>
        <v>0,000311658792292079+0,0211014915234497i</v>
      </c>
      <c r="AD554" s="190">
        <f t="shared" si="333"/>
        <v>-33.51278966438835</v>
      </c>
      <c r="AE554" s="169">
        <f t="shared" si="334"/>
        <v>89.153830657777917</v>
      </c>
      <c r="AF554" s="98" t="str">
        <f t="shared" si="320"/>
        <v>-0,0000375877424711299</v>
      </c>
      <c r="AG554" s="98" t="str">
        <f t="shared" si="321"/>
        <v>0,0145810672742588i</v>
      </c>
      <c r="AH554" s="98">
        <f t="shared" si="335"/>
        <v>1.4581067274258799E-2</v>
      </c>
      <c r="AI554" s="98">
        <f t="shared" si="336"/>
        <v>1.5707963267948966</v>
      </c>
      <c r="AJ554" s="98" t="str">
        <f t="shared" si="322"/>
        <v>1+13,2998355716322i</v>
      </c>
      <c r="AK554" s="98">
        <f t="shared" si="337"/>
        <v>13.337377037200875</v>
      </c>
      <c r="AL554" s="98">
        <f t="shared" si="338"/>
        <v>1.4957486388610046</v>
      </c>
      <c r="AM554" s="98" t="str">
        <f t="shared" si="323"/>
        <v>1+1036,36411031257i</v>
      </c>
      <c r="AN554" s="98">
        <f t="shared" si="339"/>
        <v>1036.3645927683772</v>
      </c>
      <c r="AO554" s="98">
        <f t="shared" si="340"/>
        <v>1.5698314152549293</v>
      </c>
      <c r="AP554" s="168" t="str">
        <f t="shared" si="341"/>
        <v>-0,0148258291591204+0,199758935790914i</v>
      </c>
      <c r="AQ554" s="98">
        <f t="shared" si="342"/>
        <v>-13.966018651953309</v>
      </c>
      <c r="AR554" s="169">
        <f t="shared" si="343"/>
        <v>94.244630421983274</v>
      </c>
      <c r="AS554" s="168" t="str">
        <f t="shared" si="344"/>
        <v>-0,00421983209033576-0,000250590479651145i</v>
      </c>
      <c r="AT554" s="190">
        <f t="shared" si="345"/>
        <v>-47.47880831634167</v>
      </c>
      <c r="AU554" s="169">
        <f t="shared" si="346"/>
        <v>-176.6015389202388</v>
      </c>
      <c r="AV554" s="225"/>
      <c r="AX554">
        <f t="shared" si="347"/>
        <v>0</v>
      </c>
      <c r="AY554">
        <f t="shared" si="348"/>
        <v>0</v>
      </c>
    </row>
    <row r="555" spans="14:51" x14ac:dyDescent="0.25">
      <c r="N555" s="170">
        <v>37</v>
      </c>
      <c r="O555" s="199">
        <f t="shared" si="314"/>
        <v>2344228.8153199251</v>
      </c>
      <c r="P555" s="189" t="str">
        <f t="shared" si="315"/>
        <v>120,833333333333</v>
      </c>
      <c r="Q555" s="160" t="str">
        <f t="shared" si="316"/>
        <v>1+13133,5581104343i</v>
      </c>
      <c r="R555" s="160">
        <f t="shared" si="324"/>
        <v>13133.558148504713</v>
      </c>
      <c r="S555" s="160">
        <f t="shared" si="325"/>
        <v>1.570720185966215</v>
      </c>
      <c r="T555" s="160" t="str">
        <f t="shared" si="317"/>
        <v>1+0,88375344294511i</v>
      </c>
      <c r="U555" s="160">
        <f t="shared" si="326"/>
        <v>1.3345486682460614</v>
      </c>
      <c r="V555" s="160">
        <f t="shared" si="327"/>
        <v>0.72376624815924284</v>
      </c>
      <c r="W555" s="98" t="str">
        <f t="shared" si="318"/>
        <v>1-7,56492947161015i</v>
      </c>
      <c r="X555" s="160">
        <f t="shared" si="328"/>
        <v>7.6307377042089328</v>
      </c>
      <c r="Y555" s="160">
        <f t="shared" si="329"/>
        <v>-1.4393693675936334</v>
      </c>
      <c r="Z555" s="98" t="str">
        <f t="shared" si="319"/>
        <v>-3,54166011452587+2,93017702008938i</v>
      </c>
      <c r="AA555" s="160">
        <f t="shared" si="330"/>
        <v>4.596661150866276</v>
      </c>
      <c r="AB555" s="160">
        <f t="shared" si="331"/>
        <v>2.4503985256312277</v>
      </c>
      <c r="AC555" s="171" t="str">
        <f t="shared" si="332"/>
        <v>0,000495921502685346+0,0203767174542865i</v>
      </c>
      <c r="AD555" s="190">
        <f t="shared" si="333"/>
        <v>-33.814743871911688</v>
      </c>
      <c r="AE555" s="169">
        <f t="shared" si="334"/>
        <v>88.605830354396517</v>
      </c>
      <c r="AF555" s="98" t="str">
        <f t="shared" si="320"/>
        <v>-0,0000375877424711299</v>
      </c>
      <c r="AG555" s="98" t="str">
        <f t="shared" si="321"/>
        <v>0,0149207039617233i</v>
      </c>
      <c r="AH555" s="98">
        <f t="shared" si="335"/>
        <v>1.49207039617233E-2</v>
      </c>
      <c r="AI555" s="98">
        <f t="shared" si="336"/>
        <v>1.5707963267948966</v>
      </c>
      <c r="AJ555" s="98" t="str">
        <f t="shared" si="322"/>
        <v>1+13,6096285389375i</v>
      </c>
      <c r="AK555" s="98">
        <f t="shared" si="337"/>
        <v>13.64631778055392</v>
      </c>
      <c r="AL555" s="98">
        <f t="shared" si="338"/>
        <v>1.4974507419318777</v>
      </c>
      <c r="AM555" s="98" t="str">
        <f t="shared" si="323"/>
        <v>1+1060,50413153413i</v>
      </c>
      <c r="AN555" s="98">
        <f t="shared" si="339"/>
        <v>1060.5046030079072</v>
      </c>
      <c r="AO555" s="98">
        <f t="shared" si="340"/>
        <v>1.5698533793099396</v>
      </c>
      <c r="AP555" s="168" t="str">
        <f t="shared" si="341"/>
        <v>-0,0141621401371705+0,195260633411291i</v>
      </c>
      <c r="AQ555" s="98">
        <f t="shared" si="342"/>
        <v>-14.164919872483884</v>
      </c>
      <c r="AR555" s="169">
        <f t="shared" si="343"/>
        <v>94.148365547379086</v>
      </c>
      <c r="AS555" s="168" t="str">
        <f t="shared" si="344"/>
        <v>-0,00398579406678496-0,000191743981386514i</v>
      </c>
      <c r="AT555" s="190">
        <f t="shared" si="345"/>
        <v>-47.979663744395566</v>
      </c>
      <c r="AU555" s="169">
        <f t="shared" si="346"/>
        <v>-177.24580409822437</v>
      </c>
      <c r="AV555" s="225"/>
      <c r="AX555">
        <f t="shared" si="347"/>
        <v>0</v>
      </c>
      <c r="AY555">
        <f t="shared" si="348"/>
        <v>0</v>
      </c>
    </row>
    <row r="556" spans="14:51" x14ac:dyDescent="0.25">
      <c r="N556" s="170">
        <v>38</v>
      </c>
      <c r="O556" s="199">
        <f t="shared" si="314"/>
        <v>2398832.9190194933</v>
      </c>
      <c r="P556" s="189" t="str">
        <f t="shared" si="315"/>
        <v>120,833333333333</v>
      </c>
      <c r="Q556" s="160" t="str">
        <f t="shared" si="316"/>
        <v>1+13439,4779781195i</v>
      </c>
      <c r="R556" s="160">
        <f t="shared" si="324"/>
        <v>13439.478015323324</v>
      </c>
      <c r="S556" s="160">
        <f t="shared" si="325"/>
        <v>1.5707219191430679</v>
      </c>
      <c r="T556" s="160" t="str">
        <f t="shared" si="317"/>
        <v>1+0,904338705069718i</v>
      </c>
      <c r="U556" s="160">
        <f t="shared" si="326"/>
        <v>1.348268702257519</v>
      </c>
      <c r="V556" s="160">
        <f t="shared" si="327"/>
        <v>0.73520701161154089</v>
      </c>
      <c r="W556" s="98" t="str">
        <f t="shared" si="318"/>
        <v>1-7,74113931539679i</v>
      </c>
      <c r="X556" s="160">
        <f t="shared" si="328"/>
        <v>7.8054620555340524</v>
      </c>
      <c r="Y556" s="160">
        <f t="shared" si="329"/>
        <v>-1.4423278272908657</v>
      </c>
      <c r="Z556" s="98" t="str">
        <f t="shared" si="319"/>
        <v>-3,75570196146413+2,99842961079956i</v>
      </c>
      <c r="AA556" s="160">
        <f t="shared" si="330"/>
        <v>4.8058170329575711</v>
      </c>
      <c r="AB556" s="160">
        <f t="shared" si="331"/>
        <v>2.4678480572097632</v>
      </c>
      <c r="AC556" s="171" t="str">
        <f t="shared" si="332"/>
        <v>0,000655540875878312+0,0196775638201642i</v>
      </c>
      <c r="AD556" s="190">
        <f t="shared" si="333"/>
        <v>-34.115756145084028</v>
      </c>
      <c r="AE556" s="169">
        <f t="shared" si="334"/>
        <v>88.091946742460578</v>
      </c>
      <c r="AF556" s="98" t="str">
        <f t="shared" si="320"/>
        <v>-0,0000375877424711299</v>
      </c>
      <c r="AG556" s="98" t="str">
        <f t="shared" si="321"/>
        <v>0,0152682518039271i</v>
      </c>
      <c r="AH556" s="98">
        <f t="shared" si="335"/>
        <v>1.52682518039271E-2</v>
      </c>
      <c r="AI556" s="98">
        <f t="shared" si="336"/>
        <v>1.5707963267948966</v>
      </c>
      <c r="AJ556" s="98" t="str">
        <f t="shared" si="322"/>
        <v>1+13,9266375114389i</v>
      </c>
      <c r="AK556" s="98">
        <f t="shared" si="337"/>
        <v>13.96249377349967</v>
      </c>
      <c r="AL556" s="98">
        <f t="shared" si="338"/>
        <v>1.4991145119044875</v>
      </c>
      <c r="AM556" s="98" t="str">
        <f t="shared" si="323"/>
        <v>1+1085,20644608366i</v>
      </c>
      <c r="AN556" s="98">
        <f t="shared" si="339"/>
        <v>1085.2069068253886</v>
      </c>
      <c r="AO556" s="98">
        <f t="shared" si="340"/>
        <v>1.569874843402898</v>
      </c>
      <c r="AP556" s="168" t="str">
        <f t="shared" si="341"/>
        <v>-0,0135280083755113+0,190861492487597i</v>
      </c>
      <c r="AQ556" s="98">
        <f t="shared" si="342"/>
        <v>-14.363870286578468</v>
      </c>
      <c r="AR556" s="169">
        <f t="shared" si="343"/>
        <v>94.054268351805518</v>
      </c>
      <c r="AS556" s="168" t="str">
        <f t="shared" si="344"/>
        <v>-0,00376455736169585-0,000141080738212078i</v>
      </c>
      <c r="AT556" s="190">
        <f t="shared" si="345"/>
        <v>-48.479626431662496</v>
      </c>
      <c r="AU556" s="169">
        <f t="shared" si="346"/>
        <v>-177.8537849057339</v>
      </c>
      <c r="AV556" s="225"/>
      <c r="AX556">
        <f t="shared" si="347"/>
        <v>0</v>
      </c>
      <c r="AY556">
        <f t="shared" si="348"/>
        <v>0</v>
      </c>
    </row>
    <row r="557" spans="14:51" x14ac:dyDescent="0.25">
      <c r="N557" s="170">
        <v>39</v>
      </c>
      <c r="O557" s="199">
        <f t="shared" si="314"/>
        <v>2454708.915685033</v>
      </c>
      <c r="P557" s="189" t="str">
        <f t="shared" si="315"/>
        <v>120,833333333333</v>
      </c>
      <c r="Q557" s="160" t="str">
        <f t="shared" si="316"/>
        <v>1+13752,5236349212i</v>
      </c>
      <c r="R557" s="160">
        <f t="shared" si="324"/>
        <v>13752.523671278161</v>
      </c>
      <c r="S557" s="160">
        <f t="shared" si="325"/>
        <v>1.5707236128679998</v>
      </c>
      <c r="T557" s="160" t="str">
        <f t="shared" si="317"/>
        <v>1+0,925403459546092i</v>
      </c>
      <c r="U557" s="160">
        <f t="shared" si="326"/>
        <v>1.362487270744162</v>
      </c>
      <c r="V557" s="160">
        <f t="shared" si="327"/>
        <v>0.74667420172875287</v>
      </c>
      <c r="W557" s="98" t="str">
        <f t="shared" si="318"/>
        <v>1-7,92145361371456i</v>
      </c>
      <c r="X557" s="160">
        <f t="shared" si="328"/>
        <v>7.9843238507860796</v>
      </c>
      <c r="Y557" s="160">
        <f t="shared" si="329"/>
        <v>-1.4452211309166876</v>
      </c>
      <c r="Z557" s="98" t="str">
        <f t="shared" si="319"/>
        <v>-3,97983128987072+3,06827200857829i</v>
      </c>
      <c r="AA557" s="160">
        <f t="shared" si="330"/>
        <v>5.0252711583017184</v>
      </c>
      <c r="AB557" s="160">
        <f t="shared" si="331"/>
        <v>2.4848144914635322</v>
      </c>
      <c r="AC557" s="171" t="str">
        <f t="shared" si="332"/>
        <v>0,000792838170443041+0,0190036848048574i</v>
      </c>
      <c r="AD557" s="190">
        <f t="shared" si="333"/>
        <v>-34.415690965375212</v>
      </c>
      <c r="AE557" s="169">
        <f t="shared" si="334"/>
        <v>87.610992133024055</v>
      </c>
      <c r="AF557" s="98" t="str">
        <f t="shared" si="320"/>
        <v>-0,0000375877424711299</v>
      </c>
      <c r="AG557" s="98" t="str">
        <f t="shared" si="321"/>
        <v>0,0156238950753366i</v>
      </c>
      <c r="AH557" s="98">
        <f t="shared" si="335"/>
        <v>1.56238950753366E-2</v>
      </c>
      <c r="AI557" s="98">
        <f t="shared" si="336"/>
        <v>1.5707963267948966</v>
      </c>
      <c r="AJ557" s="98" t="str">
        <f t="shared" si="322"/>
        <v>1+14,2510305714897i</v>
      </c>
      <c r="AK557" s="98">
        <f t="shared" si="337"/>
        <v>14.286072670595443</v>
      </c>
      <c r="AL557" s="98">
        <f t="shared" si="338"/>
        <v>1.5007407940667801</v>
      </c>
      <c r="AM557" s="98" t="str">
        <f t="shared" si="323"/>
        <v>1+1110,48415145531i</v>
      </c>
      <c r="AN557" s="98">
        <f t="shared" si="339"/>
        <v>1110.4846017092807</v>
      </c>
      <c r="AO557" s="98">
        <f t="shared" si="340"/>
        <v>1.5698958189142711</v>
      </c>
      <c r="AP557" s="168" t="str">
        <f t="shared" si="341"/>
        <v>-0,0129221309698642+0,186559469144042i</v>
      </c>
      <c r="AQ557" s="98">
        <f t="shared" si="342"/>
        <v>-14.562867702894566</v>
      </c>
      <c r="AR557" s="169">
        <f t="shared" si="343"/>
        <v>93.962291055883583</v>
      </c>
      <c r="AS557" s="168" t="str">
        <f t="shared" si="344"/>
        <v>-0,00355556250765127-0,0000976566357633983i</v>
      </c>
      <c r="AT557" s="190">
        <f t="shared" si="345"/>
        <v>-48.978558668269763</v>
      </c>
      <c r="AU557" s="169">
        <f t="shared" si="346"/>
        <v>-178.42671681109238</v>
      </c>
      <c r="AV557" s="225"/>
      <c r="AX557">
        <f t="shared" si="347"/>
        <v>0</v>
      </c>
      <c r="AY557">
        <f t="shared" si="348"/>
        <v>0</v>
      </c>
    </row>
    <row r="558" spans="14:51" x14ac:dyDescent="0.25">
      <c r="N558" s="170">
        <v>40</v>
      </c>
      <c r="O558" s="199">
        <f t="shared" si="314"/>
        <v>2511886.431509587</v>
      </c>
      <c r="P558" s="189" t="str">
        <f t="shared" si="315"/>
        <v>120,833333333333</v>
      </c>
      <c r="Q558" s="160" t="str">
        <f t="shared" si="316"/>
        <v>1+14072,8610617903i</v>
      </c>
      <c r="R558" s="160">
        <f t="shared" si="324"/>
        <v>14072.861097319677</v>
      </c>
      <c r="S558" s="160">
        <f t="shared" si="325"/>
        <v>1.5707252680390456</v>
      </c>
      <c r="T558" s="160" t="str">
        <f t="shared" si="317"/>
        <v>1+0,946958875185886i</v>
      </c>
      <c r="U558" s="160">
        <f t="shared" si="326"/>
        <v>1.3772186141979488</v>
      </c>
      <c r="V558" s="160">
        <f t="shared" si="327"/>
        <v>0.75816183641097956</v>
      </c>
      <c r="W558" s="98" t="str">
        <f t="shared" si="318"/>
        <v>1-8,10596797159119i</v>
      </c>
      <c r="X558" s="160">
        <f t="shared" si="328"/>
        <v>8.1674179981474051</v>
      </c>
      <c r="Y558" s="160">
        <f t="shared" si="329"/>
        <v>-1.4480506186722564</v>
      </c>
      <c r="Z558" s="98" t="str">
        <f t="shared" si="319"/>
        <v>-4,21452350810081+3,13974124478937i</v>
      </c>
      <c r="AA558" s="160">
        <f t="shared" si="330"/>
        <v>5.255490793880802</v>
      </c>
      <c r="AB558" s="160">
        <f t="shared" si="331"/>
        <v>2.5013112513716211</v>
      </c>
      <c r="AC558" s="171" t="str">
        <f t="shared" si="332"/>
        <v>0,00090996536735686+0,0183546318466903i</v>
      </c>
      <c r="AD558" s="190">
        <f t="shared" si="333"/>
        <v>-34.714425157253984</v>
      </c>
      <c r="AE558" s="169">
        <f t="shared" si="334"/>
        <v>87.161777857636196</v>
      </c>
      <c r="AF558" s="98" t="str">
        <f t="shared" si="320"/>
        <v>-0,0000375877424711299</v>
      </c>
      <c r="AG558" s="98" t="str">
        <f t="shared" si="321"/>
        <v>0,0159878223427217i</v>
      </c>
      <c r="AH558" s="98">
        <f t="shared" si="335"/>
        <v>1.59878223427217E-2</v>
      </c>
      <c r="AI558" s="98">
        <f t="shared" si="336"/>
        <v>1.5707963267948966</v>
      </c>
      <c r="AJ558" s="98" t="str">
        <f t="shared" si="322"/>
        <v>1+14,5829797165842i</v>
      </c>
      <c r="AK558" s="98">
        <f t="shared" si="337"/>
        <v>14.617226050598868</v>
      </c>
      <c r="AL558" s="98">
        <f t="shared" si="338"/>
        <v>1.5023304162663249</v>
      </c>
      <c r="AM558" s="98" t="str">
        <f t="shared" si="323"/>
        <v>1+1136,35065022306i</v>
      </c>
      <c r="AN558" s="98">
        <f t="shared" si="339"/>
        <v>1136.3510902280032</v>
      </c>
      <c r="AO558" s="98">
        <f t="shared" si="340"/>
        <v>1.5699163169654795</v>
      </c>
      <c r="AP558" s="168" t="str">
        <f t="shared" si="341"/>
        <v>-0,012343261272766+0,182352552053923i</v>
      </c>
      <c r="AQ558" s="98">
        <f t="shared" si="342"/>
        <v>-14.761910026730796</v>
      </c>
      <c r="AR558" s="169">
        <f t="shared" si="343"/>
        <v>93.872386864651844</v>
      </c>
      <c r="AS558" s="168" t="str">
        <f t="shared" si="344"/>
        <v>-0,00335824589953264-0,0000606215094309209i</v>
      </c>
      <c r="AT558" s="190">
        <f t="shared" si="345"/>
        <v>-49.476335183984787</v>
      </c>
      <c r="AU558" s="169">
        <f t="shared" si="346"/>
        <v>-178.96583527771196</v>
      </c>
      <c r="AV558" s="225"/>
      <c r="AX558">
        <f t="shared" si="347"/>
        <v>0</v>
      </c>
      <c r="AY558">
        <f t="shared" si="348"/>
        <v>0</v>
      </c>
    </row>
    <row r="559" spans="14:51" x14ac:dyDescent="0.25">
      <c r="N559" s="170">
        <v>41</v>
      </c>
      <c r="O559" s="199">
        <f t="shared" si="314"/>
        <v>2570395.782768866</v>
      </c>
      <c r="P559" s="189" t="str">
        <f t="shared" si="315"/>
        <v>120,833333333333</v>
      </c>
      <c r="Q559" s="160" t="str">
        <f t="shared" si="316"/>
        <v>1+14400,6601058707i</v>
      </c>
      <c r="R559" s="160">
        <f t="shared" si="324"/>
        <v>14400.66014059133</v>
      </c>
      <c r="S559" s="160">
        <f t="shared" si="325"/>
        <v>1.5707268855337988</v>
      </c>
      <c r="T559" s="160" t="str">
        <f t="shared" si="317"/>
        <v>1+0,96901638095578i</v>
      </c>
      <c r="U559" s="160">
        <f t="shared" si="326"/>
        <v>1.3924771978602153</v>
      </c>
      <c r="V559" s="160">
        <f t="shared" si="327"/>
        <v>0.7696638797956965</v>
      </c>
      <c r="W559" s="98" t="str">
        <f t="shared" si="318"/>
        <v>1-8,29478022098148i</v>
      </c>
      <c r="X559" s="160">
        <f t="shared" si="328"/>
        <v>8.3548416450813452</v>
      </c>
      <c r="Y559" s="160">
        <f t="shared" si="329"/>
        <v>-1.4508176094695258</v>
      </c>
      <c r="Z559" s="98" t="str">
        <f t="shared" si="319"/>
        <v>-4,46027642981486+3,21287521336781i</v>
      </c>
      <c r="AA559" s="160">
        <f t="shared" si="330"/>
        <v>5.4969657964221712</v>
      </c>
      <c r="AB559" s="160">
        <f t="shared" si="331"/>
        <v>2.5173516669412801</v>
      </c>
      <c r="AC559" s="171" t="str">
        <f t="shared" si="332"/>
        <v>0,00100891139526004+0,0177298727929164i</v>
      </c>
      <c r="AD559" s="190">
        <f t="shared" si="333"/>
        <v>-35.011847289424267</v>
      </c>
      <c r="AE559" s="169">
        <f t="shared" si="334"/>
        <v>86.743118715321842</v>
      </c>
      <c r="AF559" s="98" t="str">
        <f t="shared" si="320"/>
        <v>-0,0000375877424711299</v>
      </c>
      <c r="AG559" s="98" t="str">
        <f t="shared" si="321"/>
        <v>0,0163602265651368i</v>
      </c>
      <c r="AH559" s="98">
        <f t="shared" si="335"/>
        <v>1.63602265651368E-2</v>
      </c>
      <c r="AI559" s="98">
        <f t="shared" si="336"/>
        <v>1.5707963267948966</v>
      </c>
      <c r="AJ559" s="98" t="str">
        <f t="shared" si="322"/>
        <v>1+14,922660950553i</v>
      </c>
      <c r="AK559" s="98">
        <f t="shared" si="337"/>
        <v>14.956129507501576</v>
      </c>
      <c r="AL559" s="98">
        <f t="shared" si="338"/>
        <v>1.503884189189284</v>
      </c>
      <c r="AM559" s="98" t="str">
        <f t="shared" si="323"/>
        <v>1+1162,81965714694i</v>
      </c>
      <c r="AN559" s="98">
        <f t="shared" si="339"/>
        <v>1162.8200871361516</v>
      </c>
      <c r="AO559" s="98">
        <f t="shared" si="340"/>
        <v>1.5699363484247919</v>
      </c>
      <c r="AP559" s="168" t="str">
        <f t="shared" si="341"/>
        <v>-0,0117902065679137+0,178238762603262i</v>
      </c>
      <c r="AQ559" s="98">
        <f t="shared" si="342"/>
        <v>-14.960995255850085</v>
      </c>
      <c r="AR559" s="169">
        <f t="shared" si="343"/>
        <v>93.784509951920668</v>
      </c>
      <c r="AS559" s="168" t="str">
        <f t="shared" si="344"/>
        <v>-0,0031720458614815-0,0000292117439838373i</v>
      </c>
      <c r="AT559" s="190">
        <f t="shared" si="345"/>
        <v>-49.972842545274347</v>
      </c>
      <c r="AU559" s="169">
        <f t="shared" si="346"/>
        <v>-179.47237133275749</v>
      </c>
      <c r="AV559" s="225"/>
      <c r="AX559">
        <f t="shared" si="347"/>
        <v>0</v>
      </c>
      <c r="AY559">
        <f t="shared" si="348"/>
        <v>0</v>
      </c>
    </row>
    <row r="560" spans="14:51" ht="15.75" thickBot="1" x14ac:dyDescent="0.3">
      <c r="N560" s="170">
        <v>42</v>
      </c>
      <c r="O560" s="199">
        <f t="shared" si="314"/>
        <v>2630267.9918953842</v>
      </c>
      <c r="P560" s="189" t="str">
        <f t="shared" si="315"/>
        <v>120,833333333333</v>
      </c>
      <c r="Q560" s="160" t="str">
        <f t="shared" si="316"/>
        <v>1+14736,0945705545i</v>
      </c>
      <c r="R560" s="160">
        <f t="shared" si="324"/>
        <v>14736.094604484793</v>
      </c>
      <c r="S560" s="160">
        <f t="shared" si="325"/>
        <v>1.5707284662098768</v>
      </c>
      <c r="T560" s="160" t="str">
        <f t="shared" si="317"/>
        <v>1+0,991587672037306i</v>
      </c>
      <c r="U560" s="160">
        <f t="shared" si="326"/>
        <v>1.4082777110131239</v>
      </c>
      <c r="V560" s="160">
        <f t="shared" si="327"/>
        <v>0.7811742579919394</v>
      </c>
      <c r="W560" s="98" t="str">
        <f t="shared" si="318"/>
        <v>1-8,48799047263935i</v>
      </c>
      <c r="X560" s="160">
        <f t="shared" si="328"/>
        <v>8.5466942301463185</v>
      </c>
      <c r="Y560" s="160">
        <f t="shared" si="329"/>
        <v>-1.453523400834849</v>
      </c>
      <c r="Z560" s="98" t="str">
        <f t="shared" si="319"/>
        <v>-4,71761132990857+3,2877126909118i</v>
      </c>
      <c r="AA560" s="160">
        <f t="shared" si="330"/>
        <v>5.7502096829649796</v>
      </c>
      <c r="AB560" s="160">
        <f t="shared" si="331"/>
        <v>2.5329489228000694</v>
      </c>
      <c r="AC560" s="196" t="str">
        <f t="shared" si="332"/>
        <v>0,00109150929376315+0,0171288088314575i</v>
      </c>
      <c r="AD560" s="197">
        <f t="shared" si="333"/>
        <v>-35.307857079959817</v>
      </c>
      <c r="AE560" s="198">
        <f t="shared" si="334"/>
        <v>86.353836882327499</v>
      </c>
      <c r="AF560" s="98" t="str">
        <f t="shared" si="320"/>
        <v>-0,0000375877424711299</v>
      </c>
      <c r="AG560" s="98" t="str">
        <f t="shared" si="321"/>
        <v>0,0167413051962299i</v>
      </c>
      <c r="AH560" s="98">
        <f t="shared" si="335"/>
        <v>1.6741305196229898E-2</v>
      </c>
      <c r="AI560" s="98">
        <f t="shared" si="336"/>
        <v>1.5707963267948966</v>
      </c>
      <c r="AJ560" s="98" t="str">
        <f t="shared" si="322"/>
        <v>1+15,2702543768825i</v>
      </c>
      <c r="AK560" s="98">
        <f t="shared" si="337"/>
        <v>15.302962743687873</v>
      </c>
      <c r="AL560" s="98">
        <f t="shared" si="338"/>
        <v>1.5054029066406731</v>
      </c>
      <c r="AM560" s="98" t="str">
        <f t="shared" si="323"/>
        <v>1+1189,90520644477i</v>
      </c>
      <c r="AN560" s="98">
        <f t="shared" si="339"/>
        <v>1189.905626646236</v>
      </c>
      <c r="AO560" s="98">
        <f t="shared" si="340"/>
        <v>1.5699559239130887</v>
      </c>
      <c r="AP560" s="191" t="str">
        <f t="shared" si="341"/>
        <v>-0,0112618258314621+0,174216154993363i</v>
      </c>
      <c r="AQ560" s="195">
        <f t="shared" si="342"/>
        <v>-15.160121476476121</v>
      </c>
      <c r="AR560" s="198">
        <f t="shared" si="343"/>
        <v>93.698615444544544</v>
      </c>
      <c r="AS560" s="191" t="str">
        <f t="shared" si="344"/>
        <v>-0,00299640760179267-2,74310946134709E-06i</v>
      </c>
      <c r="AT560" s="197">
        <f t="shared" si="345"/>
        <v>-50.467978556435931</v>
      </c>
      <c r="AU560" s="198">
        <f t="shared" si="346"/>
        <v>-179.94754767312796</v>
      </c>
      <c r="AV560" s="225"/>
    </row>
    <row r="561" spans="14:30" x14ac:dyDescent="0.25">
      <c r="N561" s="170"/>
      <c r="P561" s="189"/>
      <c r="Q561" s="160"/>
      <c r="R561" s="160"/>
      <c r="S561" s="160"/>
      <c r="T561" s="160"/>
      <c r="U561" s="160"/>
      <c r="V561" s="160"/>
      <c r="X561" s="160"/>
      <c r="Y561" s="160"/>
      <c r="AA561" s="160"/>
      <c r="AB561" s="160"/>
      <c r="AC561" s="160"/>
      <c r="AD561" s="190"/>
    </row>
    <row r="562" spans="14:30" x14ac:dyDescent="0.25">
      <c r="N562" s="170"/>
      <c r="P562" s="189"/>
      <c r="Q562" s="160"/>
      <c r="R562" s="160"/>
      <c r="S562" s="160"/>
      <c r="T562" s="160"/>
      <c r="U562" s="160"/>
      <c r="V562" s="160"/>
      <c r="X562" s="160"/>
      <c r="Y562" s="160"/>
      <c r="AA562" s="160"/>
      <c r="AB562" s="160"/>
      <c r="AC562" s="160"/>
      <c r="AD562" s="190"/>
    </row>
    <row r="563" spans="14:30" x14ac:dyDescent="0.25">
      <c r="N563" s="170"/>
      <c r="P563" s="189"/>
      <c r="Q563" s="160"/>
      <c r="R563" s="160"/>
      <c r="S563" s="160"/>
      <c r="T563" s="160"/>
      <c r="U563" s="160"/>
      <c r="V563" s="160"/>
      <c r="X563" s="160"/>
      <c r="Y563" s="160"/>
      <c r="AA563" s="160"/>
      <c r="AB563" s="160"/>
      <c r="AC563" s="160"/>
      <c r="AD563" s="190"/>
    </row>
    <row r="564" spans="14:30" x14ac:dyDescent="0.25">
      <c r="N564" s="170"/>
      <c r="P564" s="189"/>
      <c r="Q564" s="160"/>
      <c r="R564" s="160"/>
      <c r="S564" s="160"/>
      <c r="T564" s="160"/>
      <c r="U564" s="160"/>
      <c r="V564" s="160"/>
      <c r="X564" s="160"/>
      <c r="Y564" s="160"/>
      <c r="AA564" s="160"/>
      <c r="AB564" s="160"/>
      <c r="AC564" s="160"/>
      <c r="AD564" s="190"/>
    </row>
    <row r="565" spans="14:30" x14ac:dyDescent="0.25">
      <c r="N565" s="170"/>
      <c r="P565" s="189"/>
      <c r="Q565" s="160"/>
      <c r="R565" s="160"/>
      <c r="S565" s="160"/>
      <c r="T565" s="160"/>
      <c r="U565" s="160"/>
      <c r="V565" s="160"/>
      <c r="X565" s="160"/>
      <c r="Y565" s="160"/>
      <c r="AA565" s="160"/>
      <c r="AB565" s="160"/>
      <c r="AC565" s="160"/>
      <c r="AD565" s="190"/>
    </row>
    <row r="566" spans="14:30" x14ac:dyDescent="0.25">
      <c r="N566" s="170"/>
      <c r="P566" s="189"/>
      <c r="Q566" s="160"/>
      <c r="R566" s="160"/>
      <c r="S566" s="160"/>
      <c r="T566" s="160"/>
      <c r="U566" s="160"/>
      <c r="V566" s="160"/>
      <c r="X566" s="160"/>
      <c r="Y566" s="160"/>
      <c r="AA566" s="160"/>
      <c r="AB566" s="160"/>
      <c r="AC566" s="160"/>
      <c r="AD566" s="190"/>
    </row>
    <row r="567" spans="14:30" x14ac:dyDescent="0.25">
      <c r="N567" s="170"/>
      <c r="P567" s="189"/>
      <c r="Q567" s="160"/>
      <c r="R567" s="160"/>
      <c r="S567" s="160"/>
      <c r="T567" s="160"/>
      <c r="U567" s="160"/>
      <c r="V567" s="160"/>
      <c r="X567" s="160"/>
      <c r="Y567" s="160"/>
      <c r="AA567" s="160"/>
      <c r="AB567" s="160"/>
      <c r="AC567" s="160"/>
      <c r="AD567" s="190"/>
    </row>
    <row r="568" spans="14:30" x14ac:dyDescent="0.25">
      <c r="N568" s="170"/>
      <c r="P568" s="189"/>
      <c r="Q568" s="160"/>
      <c r="R568" s="160"/>
      <c r="S568" s="160"/>
      <c r="T568" s="160"/>
      <c r="U568" s="160"/>
      <c r="V568" s="160"/>
      <c r="X568" s="160"/>
      <c r="Y568" s="160"/>
      <c r="AA568" s="160"/>
      <c r="AB568" s="160"/>
      <c r="AC568" s="160"/>
      <c r="AD568" s="190"/>
    </row>
    <row r="569" spans="14:30" x14ac:dyDescent="0.25">
      <c r="N569" s="170"/>
      <c r="P569" s="189"/>
      <c r="Q569" s="160"/>
      <c r="R569" s="160"/>
      <c r="S569" s="160"/>
      <c r="T569" s="160"/>
      <c r="U569" s="160"/>
      <c r="V569" s="160"/>
      <c r="X569" s="160"/>
      <c r="Y569" s="160"/>
      <c r="AA569" s="160"/>
      <c r="AB569" s="160"/>
      <c r="AC569" s="160"/>
      <c r="AD569" s="190"/>
    </row>
    <row r="570" spans="14:30" x14ac:dyDescent="0.25">
      <c r="N570" s="170"/>
      <c r="P570" s="189"/>
      <c r="Q570" s="160"/>
      <c r="R570" s="160"/>
      <c r="S570" s="160"/>
      <c r="T570" s="160"/>
      <c r="U570" s="160"/>
      <c r="V570" s="160"/>
      <c r="X570" s="160"/>
      <c r="Y570" s="160"/>
      <c r="AA570" s="160"/>
      <c r="AB570" s="160"/>
      <c r="AC570" s="160"/>
      <c r="AD570" s="190"/>
    </row>
    <row r="571" spans="14:30" x14ac:dyDescent="0.25">
      <c r="N571" s="170"/>
      <c r="P571" s="189"/>
      <c r="Q571" s="160"/>
      <c r="R571" s="160"/>
      <c r="S571" s="160"/>
      <c r="T571" s="160"/>
      <c r="U571" s="160"/>
      <c r="V571" s="160"/>
      <c r="X571" s="160"/>
      <c r="Y571" s="160"/>
      <c r="AA571" s="160"/>
      <c r="AB571" s="160"/>
      <c r="AC571" s="160"/>
      <c r="AD571" s="190"/>
    </row>
    <row r="572" spans="14:30" x14ac:dyDescent="0.25">
      <c r="N572" s="170"/>
      <c r="P572" s="189"/>
      <c r="Q572" s="160"/>
      <c r="R572" s="160"/>
      <c r="S572" s="160"/>
      <c r="T572" s="160"/>
      <c r="U572" s="160"/>
      <c r="V572" s="160"/>
      <c r="X572" s="160"/>
      <c r="Y572" s="160"/>
      <c r="AA572" s="160"/>
      <c r="AB572" s="160"/>
      <c r="AC572" s="160"/>
      <c r="AD572" s="190"/>
    </row>
    <row r="573" spans="14:30" x14ac:dyDescent="0.25">
      <c r="N573" s="170"/>
      <c r="P573" s="189"/>
      <c r="Q573" s="160"/>
      <c r="R573" s="160"/>
      <c r="S573" s="160"/>
      <c r="T573" s="160"/>
      <c r="U573" s="160"/>
      <c r="V573" s="160"/>
      <c r="X573" s="160"/>
      <c r="Y573" s="160"/>
      <c r="AA573" s="160"/>
      <c r="AB573" s="160"/>
      <c r="AC573" s="160"/>
      <c r="AD573" s="190"/>
    </row>
    <row r="574" spans="14:30" x14ac:dyDescent="0.25">
      <c r="N574" s="170"/>
      <c r="P574" s="189"/>
      <c r="Q574" s="160"/>
      <c r="R574" s="160"/>
      <c r="S574" s="160"/>
      <c r="T574" s="160"/>
      <c r="U574" s="160"/>
      <c r="V574" s="160"/>
      <c r="X574" s="160"/>
      <c r="Y574" s="160"/>
      <c r="AA574" s="160"/>
      <c r="AB574" s="160"/>
      <c r="AC574" s="160"/>
      <c r="AD574" s="190"/>
    </row>
    <row r="575" spans="14:30" x14ac:dyDescent="0.25">
      <c r="N575" s="170"/>
      <c r="P575" s="189"/>
      <c r="Q575" s="160"/>
      <c r="R575" s="160"/>
      <c r="S575" s="160"/>
      <c r="T575" s="160"/>
      <c r="U575" s="160"/>
      <c r="V575" s="160"/>
      <c r="X575" s="160"/>
      <c r="Y575" s="160"/>
      <c r="AA575" s="160"/>
      <c r="AB575" s="160"/>
      <c r="AC575" s="160"/>
      <c r="AD575" s="190"/>
    </row>
    <row r="576" spans="14:30" x14ac:dyDescent="0.25">
      <c r="N576" s="170"/>
      <c r="P576" s="189"/>
      <c r="Q576" s="160"/>
      <c r="R576" s="160"/>
      <c r="S576" s="160"/>
      <c r="T576" s="160"/>
      <c r="U576" s="160"/>
      <c r="V576" s="160"/>
      <c r="X576" s="160"/>
      <c r="Y576" s="160"/>
      <c r="AA576" s="160"/>
      <c r="AB576" s="160"/>
      <c r="AC576" s="160"/>
      <c r="AD576" s="190"/>
    </row>
    <row r="577" spans="14:30" x14ac:dyDescent="0.25">
      <c r="N577" s="170"/>
      <c r="P577" s="189"/>
      <c r="Q577" s="160"/>
      <c r="R577" s="160"/>
      <c r="S577" s="160"/>
      <c r="T577" s="160"/>
      <c r="U577" s="160"/>
      <c r="V577" s="160"/>
      <c r="X577" s="160"/>
      <c r="Y577" s="160"/>
      <c r="AA577" s="160"/>
      <c r="AB577" s="160"/>
      <c r="AC577" s="160"/>
      <c r="AD577" s="190"/>
    </row>
    <row r="578" spans="14:30" x14ac:dyDescent="0.25">
      <c r="N578" s="170"/>
      <c r="P578" s="189"/>
      <c r="Q578" s="160"/>
      <c r="R578" s="160"/>
      <c r="S578" s="160"/>
      <c r="T578" s="160"/>
      <c r="U578" s="160"/>
      <c r="V578" s="160"/>
      <c r="X578" s="160"/>
      <c r="Y578" s="160"/>
      <c r="AA578" s="160"/>
      <c r="AB578" s="160"/>
      <c r="AC578" s="160"/>
      <c r="AD578" s="190"/>
    </row>
    <row r="579" spans="14:30" x14ac:dyDescent="0.25">
      <c r="N579" s="170"/>
      <c r="P579" s="189"/>
      <c r="Q579" s="160"/>
      <c r="R579" s="160"/>
      <c r="S579" s="160"/>
      <c r="T579" s="160"/>
      <c r="U579" s="160"/>
      <c r="V579" s="160"/>
      <c r="X579" s="160"/>
      <c r="Y579" s="160"/>
      <c r="AA579" s="160"/>
      <c r="AB579" s="160"/>
      <c r="AC579" s="160"/>
      <c r="AD579" s="190"/>
    </row>
    <row r="580" spans="14:30" x14ac:dyDescent="0.25">
      <c r="N580" s="170"/>
      <c r="P580" s="189"/>
      <c r="Q580" s="160"/>
      <c r="R580" s="160"/>
      <c r="S580" s="160"/>
      <c r="T580" s="160"/>
      <c r="U580" s="160"/>
      <c r="V580" s="160"/>
      <c r="X580" s="160"/>
      <c r="Y580" s="160"/>
      <c r="AA580" s="160"/>
      <c r="AB580" s="160"/>
      <c r="AC580" s="160"/>
      <c r="AD580" s="190"/>
    </row>
    <row r="581" spans="14:30" x14ac:dyDescent="0.25">
      <c r="N581" s="170"/>
      <c r="P581" s="189"/>
      <c r="Q581" s="160"/>
      <c r="R581" s="160"/>
      <c r="S581" s="160"/>
      <c r="T581" s="160"/>
      <c r="U581" s="160"/>
      <c r="V581" s="160"/>
      <c r="X581" s="160"/>
      <c r="Y581" s="160"/>
      <c r="AA581" s="160"/>
      <c r="AB581" s="160"/>
      <c r="AC581" s="160"/>
      <c r="AD581" s="190"/>
    </row>
    <row r="582" spans="14:30" x14ac:dyDescent="0.25">
      <c r="N582" s="170"/>
      <c r="P582" s="189"/>
      <c r="Q582" s="160"/>
      <c r="R582" s="160"/>
      <c r="S582" s="160"/>
      <c r="T582" s="160"/>
      <c r="U582" s="160"/>
      <c r="V582" s="160"/>
      <c r="X582" s="160"/>
      <c r="Y582" s="160"/>
      <c r="AA582" s="160"/>
      <c r="AB582" s="160"/>
      <c r="AC582" s="160"/>
      <c r="AD582" s="190"/>
    </row>
    <row r="583" spans="14:30" x14ac:dyDescent="0.25">
      <c r="N583" s="170"/>
      <c r="P583" s="189"/>
      <c r="Q583" s="160"/>
      <c r="R583" s="160"/>
      <c r="S583" s="160"/>
      <c r="T583" s="160"/>
      <c r="U583" s="160"/>
      <c r="V583" s="160"/>
      <c r="X583" s="160"/>
      <c r="Y583" s="160"/>
      <c r="AA583" s="160"/>
      <c r="AB583" s="160"/>
      <c r="AC583" s="160"/>
      <c r="AD583" s="190"/>
    </row>
    <row r="584" spans="14:30" x14ac:dyDescent="0.25">
      <c r="N584" s="170"/>
      <c r="P584" s="189"/>
      <c r="Q584" s="160"/>
      <c r="R584" s="160"/>
      <c r="S584" s="160"/>
      <c r="T584" s="160"/>
      <c r="U584" s="160"/>
      <c r="V584" s="160"/>
      <c r="X584" s="160"/>
      <c r="Y584" s="160"/>
      <c r="AA584" s="160"/>
      <c r="AB584" s="160"/>
      <c r="AC584" s="160"/>
      <c r="AD584" s="190"/>
    </row>
    <row r="585" spans="14:30" x14ac:dyDescent="0.25">
      <c r="N585" s="170"/>
      <c r="P585" s="189"/>
      <c r="Q585" s="160"/>
      <c r="R585" s="160"/>
      <c r="S585" s="160"/>
      <c r="T585" s="160"/>
      <c r="U585" s="160"/>
      <c r="V585" s="160"/>
      <c r="X585" s="160"/>
      <c r="Y585" s="160"/>
      <c r="AA585" s="160"/>
      <c r="AB585" s="160"/>
      <c r="AC585" s="160"/>
      <c r="AD585" s="190"/>
    </row>
    <row r="586" spans="14:30" x14ac:dyDescent="0.25">
      <c r="N586" s="170"/>
      <c r="P586" s="189"/>
      <c r="Q586" s="160"/>
      <c r="R586" s="160"/>
      <c r="S586" s="160"/>
      <c r="T586" s="160"/>
      <c r="U586" s="160"/>
      <c r="V586" s="160"/>
      <c r="X586" s="160"/>
      <c r="Y586" s="160"/>
      <c r="AA586" s="160"/>
      <c r="AB586" s="160"/>
      <c r="AC586" s="160"/>
      <c r="AD586" s="190"/>
    </row>
    <row r="587" spans="14:30" x14ac:dyDescent="0.25">
      <c r="N587" s="170"/>
      <c r="P587" s="189"/>
      <c r="Q587" s="160"/>
      <c r="R587" s="160"/>
      <c r="S587" s="160"/>
      <c r="T587" s="160"/>
      <c r="U587" s="160"/>
      <c r="V587" s="160"/>
      <c r="X587" s="160"/>
      <c r="Y587" s="160"/>
      <c r="AA587" s="160"/>
      <c r="AB587" s="160"/>
      <c r="AC587" s="160"/>
      <c r="AD587" s="190"/>
    </row>
    <row r="588" spans="14:30" x14ac:dyDescent="0.25">
      <c r="N588" s="170"/>
      <c r="P588" s="189"/>
      <c r="Q588" s="160"/>
      <c r="R588" s="160"/>
      <c r="S588" s="160"/>
      <c r="T588" s="160"/>
      <c r="U588" s="160"/>
      <c r="V588" s="160"/>
      <c r="X588" s="160"/>
      <c r="Y588" s="160"/>
      <c r="AA588" s="160"/>
      <c r="AB588" s="160"/>
      <c r="AC588" s="160"/>
      <c r="AD588" s="190"/>
    </row>
    <row r="589" spans="14:30" x14ac:dyDescent="0.25">
      <c r="N589" s="170"/>
      <c r="P589" s="189"/>
      <c r="Q589" s="160"/>
      <c r="R589" s="160"/>
      <c r="S589" s="160"/>
      <c r="T589" s="160"/>
      <c r="U589" s="160"/>
      <c r="V589" s="160"/>
      <c r="X589" s="160"/>
      <c r="Y589" s="160"/>
      <c r="AA589" s="160"/>
      <c r="AB589" s="160"/>
      <c r="AC589" s="160"/>
      <c r="AD589" s="190"/>
    </row>
    <row r="590" spans="14:30" x14ac:dyDescent="0.25">
      <c r="N590" s="170"/>
      <c r="P590" s="189"/>
      <c r="Q590" s="160"/>
      <c r="R590" s="160"/>
      <c r="S590" s="160"/>
      <c r="T590" s="160"/>
      <c r="U590" s="160"/>
      <c r="V590" s="160"/>
      <c r="X590" s="160"/>
      <c r="Y590" s="160"/>
      <c r="AA590" s="160"/>
      <c r="AB590" s="160"/>
      <c r="AC590" s="160"/>
      <c r="AD590" s="190"/>
    </row>
    <row r="591" spans="14:30" x14ac:dyDescent="0.25">
      <c r="N591" s="170"/>
      <c r="P591" s="189"/>
      <c r="Q591" s="160"/>
      <c r="R591" s="160"/>
      <c r="S591" s="160"/>
      <c r="T591" s="160"/>
      <c r="U591" s="160"/>
      <c r="V591" s="160"/>
      <c r="X591" s="160"/>
      <c r="Y591" s="160"/>
      <c r="AA591" s="160"/>
      <c r="AB591" s="160"/>
      <c r="AC591" s="160"/>
      <c r="AD591" s="190"/>
    </row>
    <row r="592" spans="14:30" x14ac:dyDescent="0.25">
      <c r="N592" s="170"/>
      <c r="P592" s="189"/>
      <c r="Q592" s="160"/>
      <c r="R592" s="160"/>
      <c r="S592" s="160"/>
      <c r="T592" s="160"/>
      <c r="U592" s="160"/>
      <c r="V592" s="160"/>
      <c r="X592" s="160"/>
      <c r="Y592" s="160"/>
      <c r="AA592" s="160"/>
      <c r="AB592" s="160"/>
      <c r="AC592" s="160"/>
      <c r="AD592" s="190"/>
    </row>
    <row r="593" spans="14:30" x14ac:dyDescent="0.25">
      <c r="N593" s="170"/>
      <c r="P593" s="189"/>
      <c r="Q593" s="160"/>
      <c r="R593" s="160"/>
      <c r="S593" s="160"/>
      <c r="T593" s="160"/>
      <c r="U593" s="160"/>
      <c r="V593" s="160"/>
      <c r="X593" s="160"/>
      <c r="Y593" s="160"/>
      <c r="AA593" s="160"/>
      <c r="AB593" s="160"/>
      <c r="AC593" s="160"/>
      <c r="AD593" s="190"/>
    </row>
    <row r="594" spans="14:30" x14ac:dyDescent="0.25">
      <c r="N594" s="170"/>
      <c r="P594" s="189"/>
      <c r="Q594" s="160"/>
      <c r="R594" s="160"/>
      <c r="S594" s="160"/>
      <c r="T594" s="160"/>
      <c r="U594" s="160"/>
      <c r="V594" s="160"/>
      <c r="X594" s="160"/>
      <c r="Y594" s="160"/>
      <c r="AA594" s="160"/>
      <c r="AB594" s="160"/>
      <c r="AC594" s="160"/>
      <c r="AD594" s="190"/>
    </row>
    <row r="595" spans="14:30" x14ac:dyDescent="0.25">
      <c r="N595" s="170"/>
      <c r="P595" s="189"/>
      <c r="Q595" s="160"/>
      <c r="R595" s="160"/>
      <c r="S595" s="160"/>
      <c r="T595" s="160"/>
      <c r="U595" s="160"/>
      <c r="V595" s="160"/>
      <c r="X595" s="160"/>
      <c r="Y595" s="160"/>
      <c r="AA595" s="160"/>
      <c r="AB595" s="160"/>
      <c r="AC595" s="160"/>
      <c r="AD595" s="190"/>
    </row>
    <row r="596" spans="14:30" x14ac:dyDescent="0.25">
      <c r="N596" s="170"/>
      <c r="P596" s="189"/>
      <c r="Q596" s="160"/>
      <c r="R596" s="160"/>
      <c r="S596" s="160"/>
      <c r="T596" s="160"/>
      <c r="U596" s="160"/>
      <c r="V596" s="160"/>
      <c r="X596" s="160"/>
      <c r="Y596" s="160"/>
      <c r="AA596" s="160"/>
      <c r="AB596" s="160"/>
      <c r="AC596" s="160"/>
      <c r="AD596" s="190"/>
    </row>
    <row r="597" spans="14:30" x14ac:dyDescent="0.25">
      <c r="N597" s="170"/>
      <c r="P597" s="189"/>
      <c r="Q597" s="160"/>
      <c r="R597" s="160"/>
      <c r="S597" s="160"/>
      <c r="T597" s="160"/>
      <c r="U597" s="160"/>
      <c r="V597" s="160"/>
      <c r="X597" s="160"/>
      <c r="Y597" s="160"/>
      <c r="AA597" s="160"/>
      <c r="AB597" s="160"/>
      <c r="AC597" s="160"/>
      <c r="AD597" s="190"/>
    </row>
    <row r="598" spans="14:30" x14ac:dyDescent="0.25">
      <c r="N598" s="170"/>
      <c r="P598" s="189"/>
      <c r="Q598" s="160"/>
      <c r="R598" s="160"/>
      <c r="S598" s="160"/>
      <c r="T598" s="160"/>
      <c r="U598" s="160"/>
      <c r="V598" s="160"/>
      <c r="X598" s="160"/>
      <c r="Y598" s="160"/>
      <c r="AA598" s="160"/>
      <c r="AB598" s="160"/>
      <c r="AC598" s="160"/>
      <c r="AD598" s="190"/>
    </row>
    <row r="599" spans="14:30" x14ac:dyDescent="0.25">
      <c r="N599" s="170"/>
      <c r="P599" s="189"/>
      <c r="Q599" s="160"/>
      <c r="R599" s="160"/>
      <c r="S599" s="160"/>
      <c r="T599" s="160"/>
      <c r="U599" s="160"/>
      <c r="V599" s="160"/>
      <c r="X599" s="160"/>
      <c r="Y599" s="160"/>
      <c r="AA599" s="160"/>
      <c r="AB599" s="160"/>
      <c r="AC599" s="160"/>
      <c r="AD599" s="190"/>
    </row>
    <row r="600" spans="14:30" x14ac:dyDescent="0.25">
      <c r="N600" s="170"/>
      <c r="P600" s="189"/>
      <c r="Q600" s="160"/>
      <c r="R600" s="160"/>
      <c r="S600" s="160"/>
      <c r="T600" s="160"/>
      <c r="U600" s="160"/>
      <c r="V600" s="160"/>
      <c r="X600" s="160"/>
      <c r="Y600" s="160"/>
      <c r="AA600" s="160"/>
      <c r="AB600" s="160"/>
      <c r="AC600" s="160"/>
      <c r="AD600" s="190"/>
    </row>
    <row r="601" spans="14:30" x14ac:dyDescent="0.25">
      <c r="N601" s="170"/>
      <c r="P601" s="189"/>
      <c r="Q601" s="160"/>
      <c r="R601" s="160"/>
      <c r="S601" s="160"/>
      <c r="T601" s="160"/>
      <c r="U601" s="160"/>
      <c r="V601" s="160"/>
      <c r="X601" s="160"/>
      <c r="Y601" s="160"/>
      <c r="AA601" s="160"/>
      <c r="AB601" s="160"/>
      <c r="AC601" s="160"/>
      <c r="AD601" s="190"/>
    </row>
    <row r="602" spans="14:30" x14ac:dyDescent="0.25">
      <c r="N602" s="170"/>
      <c r="P602" s="189"/>
      <c r="Q602" s="160"/>
      <c r="R602" s="160"/>
      <c r="S602" s="160"/>
      <c r="T602" s="160"/>
      <c r="U602" s="160"/>
      <c r="V602" s="160"/>
      <c r="X602" s="160"/>
      <c r="Y602" s="160"/>
      <c r="AA602" s="160"/>
      <c r="AB602" s="160"/>
      <c r="AC602" s="160"/>
      <c r="AD602" s="190"/>
    </row>
    <row r="603" spans="14:30" x14ac:dyDescent="0.25">
      <c r="N603" s="170"/>
      <c r="P603" s="189"/>
      <c r="Q603" s="160"/>
      <c r="R603" s="160"/>
      <c r="S603" s="160"/>
      <c r="T603" s="160"/>
      <c r="U603" s="160"/>
      <c r="V603" s="160"/>
      <c r="X603" s="160"/>
      <c r="Y603" s="160"/>
      <c r="AA603" s="160"/>
      <c r="AB603" s="160"/>
      <c r="AC603" s="160"/>
      <c r="AD603" s="190"/>
    </row>
    <row r="604" spans="14:30" x14ac:dyDescent="0.25">
      <c r="N604" s="170"/>
      <c r="P604" s="189"/>
      <c r="Q604" s="160"/>
      <c r="R604" s="160"/>
      <c r="S604" s="160"/>
      <c r="T604" s="160"/>
      <c r="U604" s="160"/>
      <c r="V604" s="160"/>
      <c r="X604" s="160"/>
      <c r="Y604" s="160"/>
      <c r="AA604" s="160"/>
      <c r="AB604" s="160"/>
      <c r="AC604" s="160"/>
      <c r="AD604" s="190"/>
    </row>
    <row r="605" spans="14:30" x14ac:dyDescent="0.25">
      <c r="N605" s="170"/>
      <c r="P605" s="189"/>
      <c r="Q605" s="160"/>
      <c r="R605" s="160"/>
      <c r="S605" s="160"/>
      <c r="T605" s="160"/>
      <c r="U605" s="160"/>
      <c r="V605" s="160"/>
      <c r="X605" s="160"/>
      <c r="Y605" s="160"/>
      <c r="AA605" s="160"/>
      <c r="AB605" s="160"/>
      <c r="AC605" s="160"/>
      <c r="AD605" s="190"/>
    </row>
    <row r="606" spans="14:30" x14ac:dyDescent="0.25">
      <c r="N606" s="170"/>
      <c r="P606" s="189"/>
      <c r="Q606" s="160"/>
      <c r="R606" s="160"/>
      <c r="S606" s="160"/>
      <c r="T606" s="160"/>
      <c r="U606" s="160"/>
      <c r="V606" s="160"/>
      <c r="X606" s="160"/>
      <c r="Y606" s="160"/>
      <c r="AA606" s="160"/>
      <c r="AB606" s="160"/>
      <c r="AC606" s="160"/>
      <c r="AD606" s="190"/>
    </row>
    <row r="607" spans="14:30" x14ac:dyDescent="0.25">
      <c r="N607" s="170"/>
      <c r="P607" s="189"/>
      <c r="Q607" s="160"/>
      <c r="R607" s="160"/>
      <c r="S607" s="160"/>
      <c r="T607" s="160"/>
      <c r="U607" s="160"/>
      <c r="V607" s="160"/>
      <c r="X607" s="160"/>
      <c r="Y607" s="160"/>
      <c r="AA607" s="160"/>
      <c r="AB607" s="160"/>
      <c r="AC607" s="160"/>
      <c r="AD607" s="190"/>
    </row>
    <row r="608" spans="14:30" x14ac:dyDescent="0.25">
      <c r="N608" s="170"/>
      <c r="P608" s="189"/>
      <c r="Q608" s="160"/>
      <c r="R608" s="160"/>
      <c r="S608" s="160"/>
      <c r="T608" s="160"/>
      <c r="U608" s="160"/>
      <c r="V608" s="160"/>
      <c r="X608" s="160"/>
      <c r="Y608" s="160"/>
      <c r="AA608" s="160"/>
      <c r="AB608" s="160"/>
      <c r="AC608" s="160"/>
      <c r="AD608" s="190"/>
    </row>
    <row r="609" spans="14:30" x14ac:dyDescent="0.25">
      <c r="N609" s="170"/>
      <c r="P609" s="189"/>
      <c r="Q609" s="160"/>
      <c r="R609" s="160"/>
      <c r="S609" s="160"/>
      <c r="T609" s="160"/>
      <c r="U609" s="160"/>
      <c r="V609" s="160"/>
      <c r="X609" s="160"/>
      <c r="Y609" s="160"/>
      <c r="AA609" s="160"/>
      <c r="AB609" s="160"/>
      <c r="AC609" s="160"/>
      <c r="AD609" s="190"/>
    </row>
    <row r="610" spans="14:30" x14ac:dyDescent="0.25">
      <c r="N610" s="170"/>
      <c r="P610" s="189"/>
      <c r="Q610" s="160"/>
      <c r="R610" s="160"/>
      <c r="S610" s="160"/>
      <c r="T610" s="160"/>
      <c r="U610" s="160"/>
      <c r="V610" s="160"/>
      <c r="X610" s="160"/>
      <c r="Y610" s="160"/>
      <c r="AA610" s="160"/>
      <c r="AB610" s="160"/>
      <c r="AC610" s="160"/>
      <c r="AD610" s="190"/>
    </row>
    <row r="611" spans="14:30" x14ac:dyDescent="0.25">
      <c r="N611" s="170"/>
      <c r="P611" s="189"/>
      <c r="Q611" s="160"/>
      <c r="R611" s="160"/>
      <c r="S611" s="160"/>
      <c r="T611" s="160"/>
      <c r="U611" s="160"/>
      <c r="V611" s="160"/>
      <c r="X611" s="160"/>
      <c r="Y611" s="160"/>
      <c r="AA611" s="160"/>
      <c r="AB611" s="160"/>
      <c r="AC611" s="160"/>
      <c r="AD611" s="190"/>
    </row>
    <row r="612" spans="14:30" x14ac:dyDescent="0.25">
      <c r="N612" s="170"/>
      <c r="P612" s="189"/>
      <c r="Q612" s="160"/>
      <c r="R612" s="160"/>
      <c r="S612" s="160"/>
      <c r="T612" s="160"/>
      <c r="U612" s="160"/>
      <c r="V612" s="160"/>
      <c r="X612" s="160"/>
      <c r="Y612" s="160"/>
      <c r="AA612" s="160"/>
      <c r="AB612" s="160"/>
      <c r="AC612" s="160"/>
      <c r="AD612" s="190"/>
    </row>
    <row r="613" spans="14:30" x14ac:dyDescent="0.25">
      <c r="N613" s="170"/>
      <c r="P613" s="189"/>
      <c r="Q613" s="160"/>
      <c r="R613" s="160"/>
      <c r="S613" s="160"/>
      <c r="T613" s="160"/>
      <c r="U613" s="160"/>
      <c r="V613" s="160"/>
      <c r="X613" s="160"/>
      <c r="Y613" s="160"/>
      <c r="AA613" s="160"/>
      <c r="AB613" s="160"/>
      <c r="AC613" s="160"/>
      <c r="AD613" s="190"/>
    </row>
    <row r="614" spans="14:30" x14ac:dyDescent="0.25">
      <c r="N614" s="170"/>
      <c r="P614" s="189"/>
      <c r="Q614" s="160"/>
      <c r="R614" s="160"/>
      <c r="S614" s="160"/>
      <c r="T614" s="160"/>
      <c r="U614" s="160"/>
      <c r="V614" s="160"/>
      <c r="X614" s="160"/>
      <c r="Y614" s="160"/>
      <c r="AA614" s="160"/>
      <c r="AB614" s="160"/>
      <c r="AC614" s="160"/>
      <c r="AD614" s="190"/>
    </row>
    <row r="615" spans="14:30" x14ac:dyDescent="0.25">
      <c r="N615" s="170"/>
      <c r="P615" s="189"/>
      <c r="Q615" s="160"/>
      <c r="R615" s="160"/>
      <c r="S615" s="160"/>
      <c r="T615" s="160"/>
      <c r="U615" s="160"/>
      <c r="V615" s="160"/>
      <c r="X615" s="160"/>
      <c r="Y615" s="160"/>
      <c r="AA615" s="160"/>
      <c r="AB615" s="160"/>
      <c r="AC615" s="160"/>
      <c r="AD615" s="190"/>
    </row>
    <row r="616" spans="14:30" x14ac:dyDescent="0.25">
      <c r="N616" s="170"/>
      <c r="P616" s="189"/>
      <c r="Q616" s="160"/>
      <c r="R616" s="160"/>
      <c r="S616" s="160"/>
      <c r="T616" s="160"/>
      <c r="U616" s="160"/>
      <c r="V616" s="160"/>
      <c r="X616" s="160"/>
      <c r="Y616" s="160"/>
      <c r="AA616" s="160"/>
      <c r="AB616" s="160"/>
      <c r="AC616" s="160"/>
      <c r="AD616" s="190"/>
    </row>
    <row r="617" spans="14:30" x14ac:dyDescent="0.25">
      <c r="N617" s="170"/>
      <c r="P617" s="189"/>
      <c r="Q617" s="160"/>
      <c r="R617" s="160"/>
      <c r="S617" s="160"/>
      <c r="T617" s="160"/>
      <c r="U617" s="160"/>
      <c r="V617" s="160"/>
      <c r="X617" s="160"/>
      <c r="Y617" s="160"/>
      <c r="AA617" s="160"/>
      <c r="AB617" s="160"/>
      <c r="AC617" s="160"/>
      <c r="AD617" s="190"/>
    </row>
    <row r="618" spans="14:30" x14ac:dyDescent="0.25">
      <c r="N618" s="170"/>
      <c r="P618" s="189"/>
      <c r="Q618" s="160"/>
      <c r="R618" s="160"/>
      <c r="S618" s="160"/>
      <c r="T618" s="160"/>
      <c r="U618" s="160"/>
      <c r="V618" s="160"/>
      <c r="X618" s="160"/>
      <c r="Y618" s="160"/>
      <c r="AA618" s="160"/>
      <c r="AB618" s="160"/>
      <c r="AC618" s="160"/>
      <c r="AD618" s="190"/>
    </row>
    <row r="619" spans="14:30" x14ac:dyDescent="0.25">
      <c r="N619" s="170"/>
      <c r="P619" s="189"/>
      <c r="Q619" s="160"/>
      <c r="R619" s="160"/>
      <c r="S619" s="160"/>
      <c r="T619" s="160"/>
      <c r="U619" s="160"/>
      <c r="V619" s="160"/>
      <c r="X619" s="160"/>
      <c r="Y619" s="160"/>
      <c r="AA619" s="160"/>
      <c r="AB619" s="160"/>
      <c r="AC619" s="160"/>
      <c r="AD619" s="190"/>
    </row>
    <row r="620" spans="14:30" x14ac:dyDescent="0.25">
      <c r="N620" s="170"/>
      <c r="P620" s="189"/>
      <c r="Q620" s="160"/>
      <c r="R620" s="160"/>
      <c r="S620" s="160"/>
      <c r="T620" s="160"/>
      <c r="U620" s="160"/>
      <c r="V620" s="160"/>
      <c r="X620" s="160"/>
      <c r="Y620" s="160"/>
      <c r="AA620" s="160"/>
      <c r="AB620" s="160"/>
      <c r="AC620" s="160"/>
      <c r="AD620" s="190"/>
    </row>
    <row r="621" spans="14:30" x14ac:dyDescent="0.25">
      <c r="N621" s="170"/>
      <c r="P621" s="189"/>
      <c r="Q621" s="160"/>
      <c r="R621" s="160"/>
      <c r="S621" s="160"/>
      <c r="T621" s="160"/>
      <c r="U621" s="160"/>
      <c r="V621" s="160"/>
      <c r="X621" s="160"/>
      <c r="Y621" s="160"/>
      <c r="AA621" s="160"/>
      <c r="AB621" s="160"/>
      <c r="AC621" s="160"/>
      <c r="AD621" s="190"/>
    </row>
    <row r="622" spans="14:30" x14ac:dyDescent="0.25">
      <c r="N622" s="170"/>
      <c r="P622" s="189"/>
      <c r="Q622" s="160"/>
      <c r="R622" s="160"/>
      <c r="S622" s="160"/>
      <c r="T622" s="160"/>
      <c r="U622" s="160"/>
      <c r="V622" s="160"/>
      <c r="X622" s="160"/>
      <c r="Y622" s="160"/>
      <c r="AA622" s="160"/>
      <c r="AB622" s="160"/>
      <c r="AC622" s="160"/>
      <c r="AD622" s="190"/>
    </row>
    <row r="623" spans="14:30" x14ac:dyDescent="0.25">
      <c r="N623" s="170"/>
      <c r="P623" s="189"/>
      <c r="Q623" s="160"/>
      <c r="R623" s="160"/>
      <c r="S623" s="160"/>
      <c r="T623" s="160"/>
      <c r="U623" s="160"/>
      <c r="V623" s="160"/>
      <c r="X623" s="160"/>
      <c r="Y623" s="160"/>
      <c r="AA623" s="160"/>
      <c r="AB623" s="160"/>
      <c r="AC623" s="160"/>
      <c r="AD623" s="190"/>
    </row>
    <row r="624" spans="14:30" x14ac:dyDescent="0.25">
      <c r="N624" s="170"/>
      <c r="P624" s="189"/>
      <c r="Q624" s="160"/>
      <c r="R624" s="160"/>
      <c r="S624" s="160"/>
      <c r="T624" s="160"/>
      <c r="U624" s="160"/>
      <c r="V624" s="160"/>
      <c r="X624" s="160"/>
      <c r="Y624" s="160"/>
      <c r="AA624" s="160"/>
      <c r="AB624" s="160"/>
      <c r="AC624" s="160"/>
      <c r="AD624" s="190"/>
    </row>
    <row r="625" spans="14:30" x14ac:dyDescent="0.25">
      <c r="N625" s="170"/>
      <c r="P625" s="189"/>
      <c r="Q625" s="160"/>
      <c r="R625" s="160"/>
      <c r="S625" s="160"/>
      <c r="T625" s="160"/>
      <c r="U625" s="160"/>
      <c r="V625" s="160"/>
      <c r="X625" s="160"/>
      <c r="Y625" s="160"/>
      <c r="AA625" s="160"/>
      <c r="AB625" s="160"/>
      <c r="AC625" s="160"/>
      <c r="AD625" s="190"/>
    </row>
    <row r="626" spans="14:30" x14ac:dyDescent="0.25">
      <c r="N626" s="170"/>
      <c r="P626" s="189"/>
      <c r="Q626" s="160"/>
      <c r="R626" s="160"/>
      <c r="S626" s="160"/>
      <c r="T626" s="160"/>
      <c r="U626" s="160"/>
      <c r="V626" s="160"/>
      <c r="X626" s="160"/>
      <c r="Y626" s="160"/>
      <c r="AA626" s="160"/>
      <c r="AB626" s="160"/>
      <c r="AC626" s="160"/>
      <c r="AD626" s="190"/>
    </row>
    <row r="627" spans="14:30" x14ac:dyDescent="0.25">
      <c r="N627" s="170"/>
      <c r="P627" s="189"/>
      <c r="Q627" s="160"/>
      <c r="R627" s="160"/>
      <c r="S627" s="160"/>
      <c r="T627" s="160"/>
      <c r="U627" s="160"/>
      <c r="V627" s="160"/>
      <c r="X627" s="160"/>
      <c r="Y627" s="160"/>
      <c r="AA627" s="160"/>
      <c r="AB627" s="160"/>
      <c r="AC627" s="160"/>
      <c r="AD627" s="190"/>
    </row>
    <row r="628" spans="14:30" x14ac:dyDescent="0.25">
      <c r="N628" s="170"/>
      <c r="P628" s="189"/>
      <c r="Q628" s="160"/>
      <c r="R628" s="160"/>
      <c r="S628" s="160"/>
      <c r="T628" s="160"/>
      <c r="U628" s="160"/>
      <c r="V628" s="160"/>
      <c r="X628" s="160"/>
      <c r="Y628" s="160"/>
      <c r="AA628" s="160"/>
      <c r="AB628" s="160"/>
      <c r="AC628" s="160"/>
      <c r="AD628" s="190"/>
    </row>
    <row r="629" spans="14:30" x14ac:dyDescent="0.25">
      <c r="N629" s="170"/>
      <c r="P629" s="189"/>
      <c r="Q629" s="160"/>
      <c r="R629" s="160"/>
      <c r="S629" s="160"/>
      <c r="T629" s="160"/>
      <c r="U629" s="160"/>
      <c r="V629" s="160"/>
      <c r="X629" s="160"/>
      <c r="Y629" s="160"/>
      <c r="AA629" s="160"/>
      <c r="AB629" s="160"/>
      <c r="AC629" s="160"/>
      <c r="AD629" s="190"/>
    </row>
    <row r="630" spans="14:30" x14ac:dyDescent="0.25">
      <c r="N630" s="170"/>
      <c r="P630" s="189"/>
      <c r="Q630" s="160"/>
      <c r="R630" s="160"/>
      <c r="S630" s="160"/>
      <c r="T630" s="160"/>
      <c r="U630" s="160"/>
      <c r="V630" s="160"/>
      <c r="X630" s="160"/>
      <c r="Y630" s="160"/>
      <c r="AA630" s="160"/>
      <c r="AB630" s="160"/>
      <c r="AC630" s="160"/>
      <c r="AD630" s="190"/>
    </row>
    <row r="631" spans="14:30" x14ac:dyDescent="0.25">
      <c r="N631" s="170"/>
      <c r="P631" s="189"/>
      <c r="Q631" s="160"/>
      <c r="R631" s="160"/>
      <c r="S631" s="160"/>
      <c r="T631" s="160"/>
      <c r="U631" s="160"/>
      <c r="V631" s="160"/>
      <c r="X631" s="160"/>
      <c r="Y631" s="160"/>
      <c r="AA631" s="160"/>
      <c r="AB631" s="160"/>
      <c r="AC631" s="160"/>
      <c r="AD631" s="190"/>
    </row>
    <row r="632" spans="14:30" x14ac:dyDescent="0.25">
      <c r="N632" s="170"/>
      <c r="P632" s="189"/>
      <c r="Q632" s="160"/>
      <c r="R632" s="160"/>
      <c r="S632" s="160"/>
      <c r="T632" s="160"/>
      <c r="U632" s="160"/>
      <c r="V632" s="160"/>
      <c r="X632" s="160"/>
      <c r="Y632" s="160"/>
      <c r="AA632" s="160"/>
      <c r="AB632" s="160"/>
      <c r="AC632" s="160"/>
      <c r="AD632" s="190"/>
    </row>
    <row r="633" spans="14:30" x14ac:dyDescent="0.25">
      <c r="N633" s="170"/>
      <c r="P633" s="189"/>
      <c r="Q633" s="160"/>
      <c r="R633" s="160"/>
      <c r="S633" s="160"/>
      <c r="T633" s="160"/>
      <c r="U633" s="160"/>
      <c r="V633" s="160"/>
      <c r="X633" s="160"/>
      <c r="Y633" s="160"/>
      <c r="AA633" s="160"/>
      <c r="AB633" s="160"/>
      <c r="AC633" s="160"/>
      <c r="AD633" s="190"/>
    </row>
    <row r="634" spans="14:30" x14ac:dyDescent="0.25">
      <c r="N634" s="170"/>
      <c r="P634" s="189"/>
      <c r="Q634" s="160"/>
      <c r="R634" s="160"/>
      <c r="S634" s="160"/>
      <c r="T634" s="160"/>
      <c r="U634" s="160"/>
      <c r="V634" s="160"/>
      <c r="X634" s="160"/>
      <c r="Y634" s="160"/>
      <c r="AA634" s="160"/>
      <c r="AB634" s="160"/>
      <c r="AC634" s="160"/>
      <c r="AD634" s="190"/>
    </row>
    <row r="635" spans="14:30" x14ac:dyDescent="0.25">
      <c r="N635" s="170"/>
      <c r="P635" s="189"/>
      <c r="Q635" s="160"/>
      <c r="R635" s="160"/>
      <c r="S635" s="160"/>
      <c r="T635" s="160"/>
      <c r="U635" s="160"/>
      <c r="V635" s="160"/>
      <c r="X635" s="160"/>
      <c r="Y635" s="160"/>
      <c r="AA635" s="160"/>
      <c r="AB635" s="160"/>
      <c r="AC635" s="160"/>
      <c r="AD635" s="190"/>
    </row>
    <row r="636" spans="14:30" x14ac:dyDescent="0.25">
      <c r="N636" s="170"/>
      <c r="P636" s="189"/>
      <c r="Q636" s="160"/>
      <c r="R636" s="160"/>
      <c r="S636" s="160"/>
      <c r="T636" s="160"/>
      <c r="U636" s="160"/>
      <c r="V636" s="160"/>
      <c r="X636" s="160"/>
      <c r="Y636" s="160"/>
      <c r="AA636" s="160"/>
      <c r="AB636" s="160"/>
      <c r="AC636" s="160"/>
      <c r="AD636" s="190"/>
    </row>
    <row r="637" spans="14:30" x14ac:dyDescent="0.25">
      <c r="N637" s="170"/>
      <c r="P637" s="189"/>
      <c r="Q637" s="160"/>
      <c r="R637" s="160"/>
      <c r="S637" s="160"/>
      <c r="T637" s="160"/>
      <c r="U637" s="160"/>
      <c r="V637" s="160"/>
      <c r="X637" s="160"/>
      <c r="Y637" s="160"/>
      <c r="AA637" s="160"/>
      <c r="AB637" s="160"/>
      <c r="AC637" s="160"/>
      <c r="AD637" s="190"/>
    </row>
    <row r="638" spans="14:30" x14ac:dyDescent="0.25">
      <c r="N638" s="170"/>
      <c r="P638" s="189"/>
      <c r="Q638" s="160"/>
      <c r="R638" s="160"/>
      <c r="S638" s="160"/>
      <c r="T638" s="160"/>
      <c r="U638" s="160"/>
      <c r="V638" s="160"/>
      <c r="X638" s="160"/>
      <c r="Y638" s="160"/>
      <c r="AA638" s="160"/>
      <c r="AB638" s="160"/>
      <c r="AC638" s="160"/>
      <c r="AD638" s="190"/>
    </row>
    <row r="639" spans="14:30" x14ac:dyDescent="0.25">
      <c r="N639" s="170"/>
      <c r="P639" s="189"/>
      <c r="Q639" s="160"/>
      <c r="R639" s="160"/>
      <c r="S639" s="160"/>
      <c r="T639" s="160"/>
      <c r="U639" s="160"/>
      <c r="V639" s="160"/>
      <c r="X639" s="160"/>
      <c r="Y639" s="160"/>
      <c r="AA639" s="160"/>
      <c r="AB639" s="160"/>
      <c r="AC639" s="160"/>
      <c r="AD639" s="190"/>
    </row>
    <row r="640" spans="14:30" x14ac:dyDescent="0.25">
      <c r="N640" s="170"/>
      <c r="P640" s="189"/>
      <c r="Q640" s="160"/>
      <c r="R640" s="160"/>
      <c r="S640" s="160"/>
      <c r="T640" s="160"/>
      <c r="U640" s="160"/>
      <c r="V640" s="160"/>
      <c r="X640" s="160"/>
      <c r="Y640" s="160"/>
      <c r="AA640" s="160"/>
      <c r="AB640" s="160"/>
      <c r="AC640" s="160"/>
      <c r="AD640" s="190"/>
    </row>
    <row r="641" spans="14:30" x14ac:dyDescent="0.25">
      <c r="N641" s="170"/>
      <c r="P641" s="189"/>
      <c r="Q641" s="160"/>
      <c r="R641" s="160"/>
      <c r="S641" s="160"/>
      <c r="T641" s="160"/>
      <c r="U641" s="160"/>
      <c r="V641" s="160"/>
      <c r="X641" s="160"/>
      <c r="Y641" s="160"/>
      <c r="AA641" s="160"/>
      <c r="AB641" s="160"/>
      <c r="AC641" s="160"/>
      <c r="AD641" s="190"/>
    </row>
    <row r="642" spans="14:30" x14ac:dyDescent="0.25">
      <c r="N642" s="170"/>
      <c r="P642" s="189"/>
      <c r="Q642" s="160"/>
      <c r="R642" s="160"/>
      <c r="S642" s="160"/>
      <c r="T642" s="160"/>
      <c r="U642" s="160"/>
      <c r="V642" s="160"/>
      <c r="X642" s="160"/>
      <c r="Y642" s="160"/>
      <c r="AA642" s="160"/>
      <c r="AB642" s="160"/>
      <c r="AC642" s="160"/>
      <c r="AD642" s="190"/>
    </row>
    <row r="643" spans="14:30" x14ac:dyDescent="0.25">
      <c r="N643" s="170"/>
      <c r="P643" s="189"/>
      <c r="Q643" s="160"/>
      <c r="R643" s="160"/>
      <c r="S643" s="160"/>
      <c r="T643" s="160"/>
      <c r="U643" s="160"/>
      <c r="V643" s="160"/>
      <c r="X643" s="160"/>
      <c r="Y643" s="160"/>
      <c r="AA643" s="160"/>
      <c r="AB643" s="160"/>
      <c r="AC643" s="160"/>
      <c r="AD643" s="190"/>
    </row>
    <row r="644" spans="14:30" x14ac:dyDescent="0.25">
      <c r="N644" s="170"/>
      <c r="P644" s="189"/>
      <c r="Q644" s="160"/>
      <c r="R644" s="160"/>
      <c r="S644" s="160"/>
      <c r="T644" s="160"/>
      <c r="U644" s="160"/>
      <c r="V644" s="160"/>
      <c r="X644" s="160"/>
      <c r="Y644" s="160"/>
      <c r="AA644" s="160"/>
      <c r="AB644" s="160"/>
      <c r="AC644" s="160"/>
      <c r="AD644" s="190"/>
    </row>
    <row r="645" spans="14:30" x14ac:dyDescent="0.25">
      <c r="N645" s="170"/>
      <c r="P645" s="189"/>
      <c r="Q645" s="160"/>
      <c r="R645" s="160"/>
      <c r="S645" s="160"/>
      <c r="T645" s="160"/>
      <c r="U645" s="160"/>
      <c r="V645" s="160"/>
      <c r="X645" s="160"/>
      <c r="Y645" s="160"/>
      <c r="AA645" s="160"/>
      <c r="AB645" s="160"/>
      <c r="AC645" s="160"/>
      <c r="AD645" s="190"/>
    </row>
    <row r="646" spans="14:30" x14ac:dyDescent="0.25">
      <c r="N646" s="170"/>
      <c r="P646" s="189"/>
      <c r="Q646" s="160"/>
      <c r="R646" s="160"/>
      <c r="S646" s="160"/>
      <c r="T646" s="160"/>
      <c r="U646" s="160"/>
      <c r="V646" s="160"/>
      <c r="X646" s="160"/>
      <c r="Y646" s="160"/>
      <c r="AA646" s="160"/>
      <c r="AB646" s="160"/>
      <c r="AC646" s="160"/>
      <c r="AD646" s="190"/>
    </row>
    <row r="647" spans="14:30" x14ac:dyDescent="0.25">
      <c r="N647" s="170"/>
      <c r="P647" s="189"/>
      <c r="Q647" s="160"/>
      <c r="R647" s="160"/>
      <c r="S647" s="160"/>
      <c r="T647" s="160"/>
      <c r="U647" s="160"/>
      <c r="V647" s="160"/>
      <c r="X647" s="160"/>
      <c r="Y647" s="160"/>
      <c r="AA647" s="160"/>
      <c r="AB647" s="160"/>
      <c r="AC647" s="160"/>
      <c r="AD647" s="190"/>
    </row>
    <row r="648" spans="14:30" x14ac:dyDescent="0.25">
      <c r="N648" s="170"/>
      <c r="P648" s="189"/>
      <c r="Q648" s="160"/>
      <c r="R648" s="160"/>
      <c r="S648" s="160"/>
      <c r="T648" s="160"/>
      <c r="U648" s="160"/>
      <c r="V648" s="160"/>
      <c r="X648" s="160"/>
      <c r="Y648" s="160"/>
      <c r="AA648" s="160"/>
      <c r="AB648" s="160"/>
      <c r="AC648" s="160"/>
      <c r="AD648" s="190"/>
    </row>
    <row r="649" spans="14:30" x14ac:dyDescent="0.25">
      <c r="N649" s="170"/>
      <c r="P649" s="189"/>
      <c r="Q649" s="160"/>
      <c r="R649" s="160"/>
      <c r="S649" s="160"/>
      <c r="T649" s="160"/>
      <c r="U649" s="160"/>
      <c r="V649" s="160"/>
      <c r="X649" s="160"/>
      <c r="Y649" s="160"/>
      <c r="AA649" s="160"/>
      <c r="AB649" s="160"/>
      <c r="AC649" s="160"/>
      <c r="AD649" s="190"/>
    </row>
    <row r="650" spans="14:30" x14ac:dyDescent="0.25">
      <c r="N650" s="170"/>
      <c r="P650" s="189"/>
      <c r="Q650" s="160"/>
      <c r="R650" s="160"/>
      <c r="S650" s="160"/>
      <c r="T650" s="160"/>
      <c r="U650" s="160"/>
      <c r="V650" s="160"/>
      <c r="X650" s="160"/>
      <c r="Y650" s="160"/>
      <c r="AA650" s="160"/>
      <c r="AB650" s="160"/>
      <c r="AC650" s="160"/>
      <c r="AD650" s="190"/>
    </row>
    <row r="651" spans="14:30" x14ac:dyDescent="0.25">
      <c r="N651" s="170"/>
      <c r="P651" s="189"/>
      <c r="Q651" s="160"/>
      <c r="R651" s="160"/>
      <c r="S651" s="160"/>
      <c r="T651" s="160"/>
      <c r="U651" s="160"/>
      <c r="V651" s="160"/>
      <c r="X651" s="160"/>
      <c r="Y651" s="160"/>
      <c r="AA651" s="160"/>
      <c r="AB651" s="160"/>
      <c r="AC651" s="160"/>
      <c r="AD651" s="190"/>
    </row>
    <row r="652" spans="14:30" x14ac:dyDescent="0.25">
      <c r="N652" s="170"/>
      <c r="P652" s="189"/>
      <c r="Q652" s="160"/>
      <c r="R652" s="160"/>
      <c r="S652" s="160"/>
      <c r="T652" s="160"/>
      <c r="U652" s="160"/>
      <c r="V652" s="160"/>
      <c r="X652" s="160"/>
      <c r="Y652" s="160"/>
      <c r="AA652" s="160"/>
      <c r="AB652" s="160"/>
      <c r="AC652" s="160"/>
      <c r="AD652" s="190"/>
    </row>
    <row r="653" spans="14:30" x14ac:dyDescent="0.25">
      <c r="N653" s="170"/>
      <c r="P653" s="189"/>
      <c r="Q653" s="160"/>
      <c r="R653" s="160"/>
      <c r="S653" s="160"/>
      <c r="T653" s="160"/>
      <c r="U653" s="160"/>
      <c r="V653" s="160"/>
      <c r="X653" s="160"/>
      <c r="Y653" s="160"/>
      <c r="AA653" s="160"/>
      <c r="AB653" s="160"/>
      <c r="AC653" s="160"/>
      <c r="AD653" s="190"/>
    </row>
    <row r="654" spans="14:30" x14ac:dyDescent="0.25">
      <c r="N654" s="170"/>
      <c r="P654" s="189"/>
      <c r="Q654" s="160"/>
      <c r="R654" s="160"/>
      <c r="S654" s="160"/>
      <c r="T654" s="160"/>
      <c r="U654" s="160"/>
      <c r="V654" s="160"/>
      <c r="X654" s="160"/>
      <c r="Y654" s="160"/>
      <c r="AA654" s="160"/>
      <c r="AB654" s="160"/>
      <c r="AC654" s="160"/>
      <c r="AD654" s="190"/>
    </row>
    <row r="655" spans="14:30" x14ac:dyDescent="0.25">
      <c r="N655" s="170"/>
      <c r="P655" s="189"/>
      <c r="Q655" s="160"/>
      <c r="R655" s="160"/>
      <c r="S655" s="160"/>
      <c r="T655" s="160"/>
      <c r="U655" s="160"/>
      <c r="V655" s="160"/>
      <c r="X655" s="160"/>
      <c r="Y655" s="160"/>
      <c r="AA655" s="160"/>
      <c r="AB655" s="160"/>
      <c r="AC655" s="160"/>
      <c r="AD655" s="190"/>
    </row>
    <row r="656" spans="14:30" x14ac:dyDescent="0.25">
      <c r="N656" s="170"/>
      <c r="P656" s="189"/>
      <c r="Q656" s="160"/>
      <c r="R656" s="160"/>
      <c r="S656" s="160"/>
      <c r="T656" s="160"/>
      <c r="U656" s="160"/>
      <c r="V656" s="160"/>
      <c r="X656" s="160"/>
      <c r="Y656" s="160"/>
      <c r="AA656" s="160"/>
      <c r="AB656" s="160"/>
      <c r="AC656" s="160"/>
      <c r="AD656" s="190"/>
    </row>
    <row r="657" spans="14:30" x14ac:dyDescent="0.25">
      <c r="N657" s="170"/>
      <c r="P657" s="189"/>
      <c r="Q657" s="160"/>
      <c r="R657" s="160"/>
      <c r="S657" s="160"/>
      <c r="T657" s="160"/>
      <c r="U657" s="160"/>
      <c r="V657" s="160"/>
      <c r="X657" s="160"/>
      <c r="Y657" s="160"/>
      <c r="AA657" s="160"/>
      <c r="AB657" s="160"/>
      <c r="AC657" s="160"/>
      <c r="AD657" s="190"/>
    </row>
    <row r="658" spans="14:30" x14ac:dyDescent="0.25">
      <c r="N658" s="170"/>
      <c r="P658" s="189"/>
      <c r="Q658" s="160"/>
      <c r="R658" s="160"/>
      <c r="S658" s="160"/>
      <c r="T658" s="160"/>
      <c r="U658" s="160"/>
      <c r="V658" s="160"/>
      <c r="X658" s="160"/>
      <c r="Y658" s="160"/>
      <c r="AA658" s="160"/>
      <c r="AB658" s="160"/>
      <c r="AC658" s="160"/>
      <c r="AD658" s="190"/>
    </row>
    <row r="659" spans="14:30" x14ac:dyDescent="0.25">
      <c r="N659" s="170"/>
      <c r="P659" s="189"/>
      <c r="Q659" s="160"/>
      <c r="R659" s="160"/>
      <c r="S659" s="160"/>
      <c r="T659" s="160"/>
      <c r="U659" s="160"/>
      <c r="V659" s="160"/>
      <c r="X659" s="160"/>
      <c r="Y659" s="160"/>
      <c r="AA659" s="160"/>
      <c r="AB659" s="160"/>
      <c r="AC659" s="160"/>
      <c r="AD659" s="190"/>
    </row>
    <row r="660" spans="14:30" x14ac:dyDescent="0.25">
      <c r="N660" s="170"/>
      <c r="P660" s="189"/>
      <c r="Q660" s="160"/>
      <c r="R660" s="160"/>
      <c r="S660" s="160"/>
      <c r="T660" s="160"/>
      <c r="U660" s="160"/>
      <c r="V660" s="160"/>
      <c r="X660" s="160"/>
      <c r="Y660" s="160"/>
      <c r="AA660" s="160"/>
      <c r="AB660" s="160"/>
      <c r="AC660" s="160"/>
      <c r="AD660" s="190"/>
    </row>
    <row r="661" spans="14:30" x14ac:dyDescent="0.25">
      <c r="N661" s="170"/>
      <c r="P661" s="189"/>
      <c r="Q661" s="160"/>
      <c r="R661" s="160"/>
      <c r="S661" s="160"/>
      <c r="T661" s="160"/>
      <c r="U661" s="160"/>
      <c r="V661" s="160"/>
      <c r="X661" s="160"/>
      <c r="Y661" s="160"/>
      <c r="AA661" s="160"/>
      <c r="AB661" s="160"/>
      <c r="AC661" s="160"/>
      <c r="AD661" s="190"/>
    </row>
    <row r="662" spans="14:30" x14ac:dyDescent="0.25">
      <c r="N662" s="170"/>
      <c r="P662" s="189"/>
      <c r="Q662" s="160"/>
      <c r="R662" s="160"/>
      <c r="S662" s="160"/>
      <c r="T662" s="160"/>
      <c r="U662" s="160"/>
      <c r="V662" s="160"/>
      <c r="X662" s="160"/>
      <c r="Y662" s="160"/>
      <c r="AA662" s="160"/>
      <c r="AB662" s="160"/>
      <c r="AC662" s="160"/>
      <c r="AD662" s="190"/>
    </row>
    <row r="663" spans="14:30" x14ac:dyDescent="0.25">
      <c r="N663" s="170"/>
      <c r="P663" s="189"/>
      <c r="Q663" s="160"/>
      <c r="R663" s="160"/>
      <c r="S663" s="160"/>
      <c r="T663" s="160"/>
      <c r="U663" s="160"/>
      <c r="V663" s="160"/>
      <c r="X663" s="160"/>
      <c r="Y663" s="160"/>
      <c r="AA663" s="160"/>
      <c r="AB663" s="160"/>
      <c r="AC663" s="160"/>
      <c r="AD663" s="190"/>
    </row>
    <row r="664" spans="14:30" x14ac:dyDescent="0.25">
      <c r="N664" s="170"/>
      <c r="P664" s="189"/>
      <c r="Q664" s="160"/>
      <c r="R664" s="160"/>
      <c r="S664" s="160"/>
      <c r="T664" s="160"/>
      <c r="U664" s="160"/>
      <c r="V664" s="160"/>
      <c r="X664" s="160"/>
      <c r="Y664" s="160"/>
      <c r="AA664" s="160"/>
      <c r="AB664" s="160"/>
      <c r="AC664" s="160"/>
      <c r="AD664" s="190"/>
    </row>
    <row r="665" spans="14:30" x14ac:dyDescent="0.25">
      <c r="N665" s="170"/>
      <c r="P665" s="189"/>
      <c r="Q665" s="160"/>
      <c r="R665" s="160"/>
      <c r="S665" s="160"/>
      <c r="T665" s="160"/>
      <c r="U665" s="160"/>
      <c r="V665" s="160"/>
      <c r="X665" s="160"/>
      <c r="Y665" s="160"/>
      <c r="AA665" s="160"/>
      <c r="AB665" s="160"/>
      <c r="AC665" s="160"/>
      <c r="AD665" s="190"/>
    </row>
    <row r="666" spans="14:30" x14ac:dyDescent="0.25">
      <c r="N666" s="170"/>
      <c r="P666" s="189"/>
      <c r="Q666" s="160"/>
      <c r="R666" s="160"/>
      <c r="S666" s="160"/>
      <c r="T666" s="160"/>
      <c r="U666" s="160"/>
      <c r="V666" s="160"/>
      <c r="X666" s="160"/>
      <c r="Y666" s="160"/>
      <c r="AA666" s="160"/>
      <c r="AB666" s="160"/>
      <c r="AC666" s="160"/>
      <c r="AD666" s="190"/>
    </row>
    <row r="667" spans="14:30" x14ac:dyDescent="0.25">
      <c r="N667" s="170"/>
      <c r="P667" s="189"/>
      <c r="Q667" s="160"/>
      <c r="R667" s="160"/>
      <c r="S667" s="160"/>
      <c r="T667" s="160"/>
      <c r="U667" s="160"/>
      <c r="V667" s="160"/>
      <c r="X667" s="160"/>
      <c r="Y667" s="160"/>
      <c r="AA667" s="160"/>
      <c r="AB667" s="160"/>
      <c r="AC667" s="160"/>
      <c r="AD667" s="190"/>
    </row>
    <row r="668" spans="14:30" x14ac:dyDescent="0.25">
      <c r="N668" s="170"/>
      <c r="P668" s="189"/>
      <c r="Q668" s="160"/>
      <c r="R668" s="160"/>
      <c r="S668" s="160"/>
      <c r="T668" s="160"/>
      <c r="U668" s="160"/>
      <c r="V668" s="160"/>
      <c r="X668" s="160"/>
      <c r="Y668" s="160"/>
      <c r="AA668" s="160"/>
      <c r="AB668" s="160"/>
      <c r="AC668" s="160"/>
      <c r="AD668" s="190"/>
    </row>
    <row r="669" spans="14:30" x14ac:dyDescent="0.25">
      <c r="N669" s="170"/>
      <c r="P669" s="189"/>
      <c r="Q669" s="160"/>
      <c r="R669" s="160"/>
      <c r="S669" s="160"/>
      <c r="T669" s="160"/>
      <c r="U669" s="160"/>
      <c r="V669" s="160"/>
      <c r="X669" s="160"/>
      <c r="Y669" s="160"/>
      <c r="AA669" s="160"/>
      <c r="AB669" s="160"/>
      <c r="AC669" s="160"/>
      <c r="AD669" s="190"/>
    </row>
    <row r="670" spans="14:30" x14ac:dyDescent="0.25">
      <c r="N670" s="170"/>
      <c r="P670" s="189"/>
      <c r="Q670" s="160"/>
      <c r="R670" s="160"/>
      <c r="S670" s="160"/>
      <c r="T670" s="160"/>
      <c r="U670" s="160"/>
      <c r="V670" s="160"/>
      <c r="X670" s="160"/>
      <c r="Y670" s="160"/>
      <c r="AA670" s="160"/>
      <c r="AB670" s="160"/>
      <c r="AC670" s="160"/>
      <c r="AD670" s="190"/>
    </row>
    <row r="671" spans="14:30" x14ac:dyDescent="0.25">
      <c r="N671" s="170"/>
      <c r="P671" s="189"/>
      <c r="Q671" s="160"/>
      <c r="R671" s="160"/>
      <c r="S671" s="160"/>
      <c r="T671" s="160"/>
      <c r="U671" s="160"/>
      <c r="V671" s="160"/>
      <c r="X671" s="160"/>
      <c r="Y671" s="160"/>
      <c r="AA671" s="160"/>
      <c r="AB671" s="160"/>
      <c r="AC671" s="160"/>
      <c r="AD671" s="190"/>
    </row>
    <row r="672" spans="14:30" x14ac:dyDescent="0.25">
      <c r="N672" s="170"/>
      <c r="P672" s="189"/>
      <c r="Q672" s="160"/>
      <c r="R672" s="160"/>
      <c r="S672" s="160"/>
      <c r="T672" s="160"/>
      <c r="U672" s="160"/>
      <c r="V672" s="160"/>
      <c r="X672" s="160"/>
      <c r="Y672" s="160"/>
      <c r="AA672" s="160"/>
      <c r="AB672" s="160"/>
      <c r="AC672" s="160"/>
      <c r="AD672" s="190"/>
    </row>
    <row r="673" spans="14:30" x14ac:dyDescent="0.25">
      <c r="N673" s="170"/>
      <c r="P673" s="189"/>
      <c r="Q673" s="160"/>
      <c r="R673" s="160"/>
      <c r="S673" s="160"/>
      <c r="T673" s="160"/>
      <c r="U673" s="160"/>
      <c r="V673" s="160"/>
      <c r="X673" s="160"/>
      <c r="Y673" s="160"/>
      <c r="AA673" s="160"/>
      <c r="AB673" s="160"/>
      <c r="AC673" s="160"/>
      <c r="AD673" s="190"/>
    </row>
    <row r="674" spans="14:30" x14ac:dyDescent="0.25">
      <c r="N674" s="170"/>
      <c r="P674" s="189"/>
      <c r="Q674" s="160"/>
      <c r="R674" s="160"/>
      <c r="S674" s="160"/>
      <c r="T674" s="160"/>
      <c r="U674" s="160"/>
      <c r="V674" s="160"/>
      <c r="X674" s="160"/>
      <c r="Y674" s="160"/>
      <c r="AA674" s="160"/>
      <c r="AB674" s="160"/>
      <c r="AC674" s="160"/>
      <c r="AD674" s="190"/>
    </row>
    <row r="675" spans="14:30" x14ac:dyDescent="0.25">
      <c r="N675" s="170"/>
      <c r="P675" s="189"/>
      <c r="Q675" s="160"/>
      <c r="R675" s="160"/>
      <c r="S675" s="160"/>
      <c r="T675" s="160"/>
      <c r="U675" s="160"/>
      <c r="V675" s="160"/>
      <c r="X675" s="160"/>
      <c r="Y675" s="160"/>
      <c r="AA675" s="160"/>
      <c r="AB675" s="160"/>
      <c r="AC675" s="160"/>
      <c r="AD675" s="190"/>
    </row>
    <row r="676" spans="14:30" x14ac:dyDescent="0.25">
      <c r="N676" s="170"/>
      <c r="P676" s="189"/>
      <c r="Q676" s="160"/>
      <c r="R676" s="160"/>
      <c r="S676" s="160"/>
      <c r="T676" s="160"/>
      <c r="U676" s="160"/>
      <c r="V676" s="160"/>
      <c r="X676" s="160"/>
      <c r="Y676" s="160"/>
      <c r="AA676" s="160"/>
      <c r="AB676" s="160"/>
      <c r="AC676" s="160"/>
      <c r="AD676" s="190"/>
    </row>
    <row r="677" spans="14:30" x14ac:dyDescent="0.25">
      <c r="N677" s="170"/>
      <c r="P677" s="189"/>
      <c r="Q677" s="160"/>
      <c r="R677" s="160"/>
      <c r="S677" s="160"/>
      <c r="T677" s="160"/>
      <c r="U677" s="160"/>
      <c r="V677" s="160"/>
      <c r="X677" s="160"/>
      <c r="Y677" s="160"/>
      <c r="AA677" s="160"/>
      <c r="AB677" s="160"/>
      <c r="AC677" s="160"/>
      <c r="AD677" s="190"/>
    </row>
    <row r="678" spans="14:30" x14ac:dyDescent="0.25">
      <c r="N678" s="170"/>
      <c r="P678" s="189"/>
      <c r="Q678" s="160"/>
      <c r="R678" s="160"/>
      <c r="S678" s="160"/>
      <c r="T678" s="160"/>
      <c r="U678" s="160"/>
      <c r="V678" s="160"/>
      <c r="X678" s="160"/>
      <c r="Y678" s="160"/>
      <c r="AA678" s="160"/>
      <c r="AB678" s="160"/>
      <c r="AC678" s="160"/>
      <c r="AD678" s="190"/>
    </row>
    <row r="679" spans="14:30" x14ac:dyDescent="0.25">
      <c r="N679" s="170"/>
      <c r="P679" s="189"/>
      <c r="Q679" s="160"/>
      <c r="R679" s="160"/>
      <c r="S679" s="160"/>
      <c r="T679" s="160"/>
      <c r="U679" s="160"/>
      <c r="V679" s="160"/>
      <c r="X679" s="160"/>
      <c r="Y679" s="160"/>
      <c r="AA679" s="160"/>
      <c r="AB679" s="160"/>
      <c r="AC679" s="160"/>
      <c r="AD679" s="190"/>
    </row>
    <row r="680" spans="14:30" x14ac:dyDescent="0.25">
      <c r="N680" s="170"/>
      <c r="P680" s="189"/>
      <c r="Q680" s="160"/>
      <c r="R680" s="160"/>
      <c r="S680" s="160"/>
      <c r="T680" s="160"/>
      <c r="U680" s="160"/>
      <c r="V680" s="160"/>
      <c r="X680" s="160"/>
      <c r="Y680" s="160"/>
      <c r="AA680" s="160"/>
      <c r="AB680" s="160"/>
      <c r="AC680" s="160"/>
      <c r="AD680" s="190"/>
    </row>
    <row r="681" spans="14:30" x14ac:dyDescent="0.25">
      <c r="N681" s="170"/>
      <c r="P681" s="189"/>
      <c r="Q681" s="160"/>
      <c r="R681" s="160"/>
      <c r="S681" s="160"/>
      <c r="T681" s="160"/>
      <c r="U681" s="160"/>
      <c r="V681" s="160"/>
      <c r="X681" s="160"/>
      <c r="Y681" s="160"/>
      <c r="AA681" s="160"/>
      <c r="AB681" s="160"/>
      <c r="AC681" s="160"/>
      <c r="AD681" s="190"/>
    </row>
    <row r="682" spans="14:30" x14ac:dyDescent="0.25">
      <c r="N682" s="170"/>
      <c r="P682" s="189"/>
      <c r="Q682" s="160"/>
      <c r="R682" s="160"/>
      <c r="S682" s="160"/>
      <c r="T682" s="160"/>
      <c r="U682" s="160"/>
      <c r="V682" s="160"/>
      <c r="X682" s="160"/>
      <c r="Y682" s="160"/>
      <c r="AA682" s="160"/>
      <c r="AB682" s="160"/>
      <c r="AC682" s="160"/>
      <c r="AD682" s="190"/>
    </row>
    <row r="683" spans="14:30" x14ac:dyDescent="0.25">
      <c r="N683" s="170"/>
      <c r="P683" s="189"/>
      <c r="Q683" s="160"/>
      <c r="R683" s="160"/>
      <c r="S683" s="160"/>
      <c r="T683" s="160"/>
      <c r="U683" s="160"/>
      <c r="V683" s="160"/>
      <c r="X683" s="160"/>
      <c r="Y683" s="160"/>
      <c r="AA683" s="160"/>
      <c r="AB683" s="160"/>
      <c r="AC683" s="160"/>
      <c r="AD683" s="190"/>
    </row>
    <row r="684" spans="14:30" x14ac:dyDescent="0.25">
      <c r="N684" s="170"/>
      <c r="P684" s="189"/>
      <c r="Q684" s="160"/>
      <c r="R684" s="160"/>
      <c r="S684" s="160"/>
      <c r="T684" s="160"/>
      <c r="U684" s="160"/>
      <c r="V684" s="160"/>
      <c r="X684" s="160"/>
      <c r="Y684" s="160"/>
      <c r="AA684" s="160"/>
      <c r="AB684" s="160"/>
      <c r="AC684" s="160"/>
      <c r="AD684" s="190"/>
    </row>
    <row r="685" spans="14:30" x14ac:dyDescent="0.25">
      <c r="N685" s="170"/>
      <c r="P685" s="189"/>
      <c r="Q685" s="160"/>
      <c r="R685" s="160"/>
      <c r="S685" s="160"/>
      <c r="T685" s="160"/>
      <c r="U685" s="160"/>
      <c r="V685" s="160"/>
      <c r="X685" s="160"/>
      <c r="Y685" s="160"/>
      <c r="AA685" s="160"/>
      <c r="AB685" s="160"/>
      <c r="AC685" s="160"/>
      <c r="AD685" s="190"/>
    </row>
    <row r="686" spans="14:30" x14ac:dyDescent="0.25">
      <c r="N686" s="170"/>
      <c r="P686" s="189"/>
      <c r="Q686" s="160"/>
      <c r="R686" s="160"/>
      <c r="S686" s="160"/>
      <c r="T686" s="160"/>
      <c r="U686" s="160"/>
      <c r="V686" s="160"/>
      <c r="X686" s="160"/>
      <c r="Y686" s="160"/>
      <c r="AA686" s="160"/>
      <c r="AB686" s="160"/>
      <c r="AC686" s="160"/>
      <c r="AD686" s="190"/>
    </row>
    <row r="687" spans="14:30" x14ac:dyDescent="0.25">
      <c r="N687" s="170"/>
      <c r="P687" s="189"/>
      <c r="Q687" s="160"/>
      <c r="R687" s="160"/>
      <c r="S687" s="160"/>
      <c r="T687" s="160"/>
      <c r="U687" s="160"/>
      <c r="V687" s="160"/>
      <c r="X687" s="160"/>
      <c r="Y687" s="160"/>
      <c r="AA687" s="160"/>
      <c r="AB687" s="160"/>
      <c r="AC687" s="160"/>
      <c r="AD687" s="190"/>
    </row>
    <row r="688" spans="14:30" x14ac:dyDescent="0.25">
      <c r="N688" s="170"/>
      <c r="P688" s="189"/>
      <c r="Q688" s="160"/>
      <c r="R688" s="160"/>
      <c r="S688" s="160"/>
      <c r="T688" s="160"/>
      <c r="U688" s="160"/>
      <c r="V688" s="160"/>
      <c r="X688" s="160"/>
      <c r="Y688" s="160"/>
      <c r="AA688" s="160"/>
      <c r="AB688" s="160"/>
      <c r="AC688" s="160"/>
      <c r="AD688" s="190"/>
    </row>
    <row r="689" spans="14:30" x14ac:dyDescent="0.25">
      <c r="N689" s="170"/>
      <c r="P689" s="189"/>
      <c r="Q689" s="160"/>
      <c r="R689" s="160"/>
      <c r="S689" s="160"/>
      <c r="T689" s="160"/>
      <c r="U689" s="160"/>
      <c r="V689" s="160"/>
      <c r="X689" s="160"/>
      <c r="Y689" s="160"/>
      <c r="AA689" s="160"/>
      <c r="AB689" s="160"/>
      <c r="AC689" s="160"/>
      <c r="AD689" s="190"/>
    </row>
    <row r="690" spans="14:30" x14ac:dyDescent="0.25">
      <c r="N690" s="170"/>
      <c r="P690" s="189"/>
      <c r="Q690" s="160"/>
      <c r="R690" s="160"/>
      <c r="S690" s="160"/>
      <c r="T690" s="160"/>
      <c r="U690" s="160"/>
      <c r="V690" s="160"/>
      <c r="X690" s="160"/>
      <c r="Y690" s="160"/>
      <c r="AA690" s="160"/>
      <c r="AB690" s="160"/>
      <c r="AC690" s="160"/>
      <c r="AD690" s="190"/>
    </row>
    <row r="691" spans="14:30" x14ac:dyDescent="0.25">
      <c r="N691" s="170"/>
      <c r="P691" s="189"/>
      <c r="Q691" s="160"/>
      <c r="R691" s="160"/>
      <c r="S691" s="160"/>
      <c r="T691" s="160"/>
      <c r="U691" s="160"/>
      <c r="V691" s="160"/>
      <c r="X691" s="160"/>
      <c r="Y691" s="160"/>
      <c r="AA691" s="160"/>
      <c r="AB691" s="160"/>
      <c r="AC691" s="160"/>
      <c r="AD691" s="190"/>
    </row>
    <row r="692" spans="14:30" x14ac:dyDescent="0.25">
      <c r="N692" s="170"/>
      <c r="P692" s="189"/>
      <c r="Q692" s="160"/>
      <c r="R692" s="160"/>
      <c r="S692" s="160"/>
      <c r="T692" s="160"/>
      <c r="U692" s="160"/>
      <c r="V692" s="160"/>
      <c r="X692" s="160"/>
      <c r="Y692" s="160"/>
      <c r="AA692" s="160"/>
      <c r="AB692" s="160"/>
      <c r="AC692" s="160"/>
      <c r="AD692" s="190"/>
    </row>
    <row r="693" spans="14:30" x14ac:dyDescent="0.25">
      <c r="N693" s="170"/>
      <c r="P693" s="189"/>
      <c r="Q693" s="160"/>
      <c r="R693" s="160"/>
      <c r="S693" s="160"/>
      <c r="T693" s="160"/>
      <c r="U693" s="160"/>
      <c r="V693" s="160"/>
      <c r="X693" s="160"/>
      <c r="Y693" s="160"/>
      <c r="AA693" s="160"/>
      <c r="AB693" s="160"/>
      <c r="AC693" s="160"/>
      <c r="AD693" s="190"/>
    </row>
    <row r="694" spans="14:30" x14ac:dyDescent="0.25">
      <c r="N694" s="170"/>
      <c r="P694" s="189"/>
      <c r="Q694" s="160"/>
      <c r="R694" s="160"/>
      <c r="S694" s="160"/>
      <c r="T694" s="160"/>
      <c r="U694" s="160"/>
      <c r="V694" s="160"/>
      <c r="X694" s="160"/>
      <c r="Y694" s="160"/>
      <c r="AA694" s="160"/>
      <c r="AB694" s="160"/>
      <c r="AC694" s="160"/>
      <c r="AD694" s="190"/>
    </row>
    <row r="695" spans="14:30" x14ac:dyDescent="0.25">
      <c r="N695" s="170"/>
      <c r="P695" s="189"/>
      <c r="Q695" s="160"/>
      <c r="R695" s="160"/>
      <c r="S695" s="160"/>
      <c r="T695" s="160"/>
      <c r="U695" s="160"/>
      <c r="V695" s="160"/>
      <c r="X695" s="160"/>
      <c r="Y695" s="160"/>
      <c r="AA695" s="160"/>
      <c r="AB695" s="160"/>
      <c r="AC695" s="160"/>
      <c r="AD695" s="190"/>
    </row>
    <row r="696" spans="14:30" x14ac:dyDescent="0.25">
      <c r="N696" s="170"/>
      <c r="P696" s="189"/>
      <c r="Q696" s="160"/>
      <c r="R696" s="160"/>
      <c r="S696" s="160"/>
      <c r="T696" s="160"/>
      <c r="U696" s="160"/>
      <c r="V696" s="160"/>
      <c r="X696" s="160"/>
      <c r="Y696" s="160"/>
      <c r="AA696" s="160"/>
      <c r="AB696" s="160"/>
      <c r="AC696" s="160"/>
      <c r="AD696" s="190"/>
    </row>
    <row r="697" spans="14:30" x14ac:dyDescent="0.25">
      <c r="N697" s="170"/>
      <c r="P697" s="189"/>
      <c r="Q697" s="160"/>
      <c r="R697" s="160"/>
      <c r="S697" s="160"/>
      <c r="T697" s="160"/>
      <c r="U697" s="160"/>
      <c r="V697" s="160"/>
      <c r="X697" s="160"/>
      <c r="Y697" s="160"/>
      <c r="AA697" s="160"/>
      <c r="AB697" s="160"/>
      <c r="AC697" s="160"/>
      <c r="AD697" s="190"/>
    </row>
    <row r="698" spans="14:30" x14ac:dyDescent="0.25">
      <c r="N698" s="170"/>
      <c r="P698" s="189"/>
      <c r="Q698" s="160"/>
      <c r="R698" s="160"/>
      <c r="S698" s="160"/>
      <c r="T698" s="160"/>
      <c r="U698" s="160"/>
      <c r="V698" s="160"/>
      <c r="X698" s="160"/>
      <c r="Y698" s="160"/>
      <c r="AA698" s="160"/>
      <c r="AB698" s="160"/>
      <c r="AC698" s="160"/>
      <c r="AD698" s="190"/>
    </row>
    <row r="699" spans="14:30" x14ac:dyDescent="0.25">
      <c r="N699" s="170"/>
      <c r="P699" s="189"/>
      <c r="Q699" s="160"/>
      <c r="R699" s="160"/>
      <c r="S699" s="160"/>
      <c r="T699" s="160"/>
      <c r="U699" s="160"/>
      <c r="V699" s="160"/>
      <c r="X699" s="160"/>
      <c r="Y699" s="160"/>
      <c r="AA699" s="160"/>
      <c r="AB699" s="160"/>
      <c r="AC699" s="160"/>
      <c r="AD699" s="190"/>
    </row>
    <row r="700" spans="14:30" x14ac:dyDescent="0.25">
      <c r="N700" s="170"/>
      <c r="P700" s="189"/>
      <c r="Q700" s="160"/>
      <c r="R700" s="160"/>
      <c r="S700" s="160"/>
      <c r="T700" s="160"/>
      <c r="U700" s="160"/>
      <c r="V700" s="160"/>
      <c r="X700" s="160"/>
      <c r="Y700" s="160"/>
      <c r="AA700" s="160"/>
      <c r="AB700" s="160"/>
      <c r="AC700" s="160"/>
      <c r="AD700" s="190"/>
    </row>
    <row r="701" spans="14:30" x14ac:dyDescent="0.25">
      <c r="N701" s="170"/>
      <c r="P701" s="189"/>
      <c r="Q701" s="160"/>
      <c r="R701" s="160"/>
      <c r="S701" s="160"/>
      <c r="T701" s="160"/>
      <c r="U701" s="160"/>
      <c r="V701" s="160"/>
      <c r="X701" s="160"/>
      <c r="Y701" s="160"/>
      <c r="AA701" s="160"/>
      <c r="AB701" s="160"/>
      <c r="AC701" s="160"/>
      <c r="AD701" s="190"/>
    </row>
    <row r="702" spans="14:30" x14ac:dyDescent="0.25">
      <c r="N702" s="170"/>
      <c r="P702" s="189"/>
      <c r="Q702" s="160"/>
      <c r="R702" s="160"/>
      <c r="S702" s="160"/>
      <c r="T702" s="160"/>
      <c r="U702" s="160"/>
      <c r="V702" s="160"/>
      <c r="X702" s="160"/>
      <c r="Y702" s="160"/>
      <c r="AA702" s="160"/>
      <c r="AB702" s="160"/>
      <c r="AC702" s="160"/>
      <c r="AD702" s="190"/>
    </row>
    <row r="703" spans="14:30" x14ac:dyDescent="0.25">
      <c r="N703" s="170"/>
      <c r="P703" s="189"/>
      <c r="Q703" s="160"/>
      <c r="R703" s="160"/>
      <c r="S703" s="160"/>
      <c r="T703" s="160"/>
      <c r="U703" s="160"/>
      <c r="V703" s="160"/>
      <c r="X703" s="160"/>
      <c r="Y703" s="160"/>
      <c r="AA703" s="160"/>
      <c r="AB703" s="160"/>
      <c r="AC703" s="160"/>
      <c r="AD703" s="190"/>
    </row>
    <row r="704" spans="14:30" x14ac:dyDescent="0.25">
      <c r="N704" s="170"/>
      <c r="P704" s="189"/>
      <c r="Q704" s="160"/>
      <c r="R704" s="160"/>
      <c r="S704" s="160"/>
      <c r="T704" s="160"/>
      <c r="U704" s="160"/>
      <c r="V704" s="160"/>
      <c r="X704" s="160"/>
      <c r="Y704" s="160"/>
      <c r="AA704" s="160"/>
      <c r="AB704" s="160"/>
      <c r="AC704" s="160"/>
      <c r="AD704" s="190"/>
    </row>
    <row r="705" spans="14:30" x14ac:dyDescent="0.25">
      <c r="N705" s="170"/>
      <c r="P705" s="189"/>
      <c r="Q705" s="160"/>
      <c r="R705" s="160"/>
      <c r="S705" s="160"/>
      <c r="T705" s="160"/>
      <c r="U705" s="160"/>
      <c r="V705" s="160"/>
      <c r="X705" s="160"/>
      <c r="Y705" s="160"/>
      <c r="AA705" s="160"/>
      <c r="AB705" s="160"/>
      <c r="AC705" s="160"/>
      <c r="AD705" s="190"/>
    </row>
    <row r="706" spans="14:30" x14ac:dyDescent="0.25">
      <c r="N706" s="170"/>
      <c r="P706" s="189"/>
      <c r="Q706" s="160"/>
      <c r="R706" s="160"/>
      <c r="S706" s="160"/>
      <c r="T706" s="160"/>
      <c r="U706" s="160"/>
      <c r="V706" s="160"/>
      <c r="X706" s="160"/>
      <c r="Y706" s="160"/>
      <c r="AA706" s="160"/>
      <c r="AB706" s="160"/>
      <c r="AC706" s="160"/>
      <c r="AD706" s="190"/>
    </row>
    <row r="707" spans="14:30" x14ac:dyDescent="0.25">
      <c r="N707" s="170"/>
      <c r="P707" s="189"/>
      <c r="Q707" s="160"/>
      <c r="R707" s="160"/>
      <c r="S707" s="160"/>
      <c r="T707" s="160"/>
      <c r="U707" s="160"/>
      <c r="V707" s="160"/>
      <c r="X707" s="160"/>
      <c r="Y707" s="160"/>
      <c r="AA707" s="160"/>
      <c r="AB707" s="160"/>
      <c r="AC707" s="160"/>
      <c r="AD707" s="190"/>
    </row>
    <row r="708" spans="14:30" x14ac:dyDescent="0.25">
      <c r="N708" s="170"/>
      <c r="P708" s="189"/>
      <c r="Q708" s="160"/>
      <c r="R708" s="160"/>
      <c r="S708" s="160"/>
      <c r="T708" s="160"/>
      <c r="U708" s="160"/>
      <c r="V708" s="160"/>
      <c r="X708" s="160"/>
      <c r="Y708" s="160"/>
      <c r="AA708" s="160"/>
      <c r="AB708" s="160"/>
      <c r="AC708" s="160"/>
      <c r="AD708" s="190"/>
    </row>
  </sheetData>
  <mergeCells count="29">
    <mergeCell ref="A1:M1"/>
    <mergeCell ref="E6:K6"/>
    <mergeCell ref="Q17:S17"/>
    <mergeCell ref="T17:V17"/>
    <mergeCell ref="W17:Y17"/>
    <mergeCell ref="P16:AE16"/>
    <mergeCell ref="Z17:AB17"/>
    <mergeCell ref="N1:X1"/>
    <mergeCell ref="P4:AE4"/>
    <mergeCell ref="AF4:AR4"/>
    <mergeCell ref="AS4:AU4"/>
    <mergeCell ref="Q5:S5"/>
    <mergeCell ref="T5:V5"/>
    <mergeCell ref="W5:Y5"/>
    <mergeCell ref="Z5:AB5"/>
    <mergeCell ref="AC5:AE5"/>
    <mergeCell ref="AG5:AI5"/>
    <mergeCell ref="AJ5:AL5"/>
    <mergeCell ref="AM5:AO5"/>
    <mergeCell ref="AP5:AR5"/>
    <mergeCell ref="AS5:AU5"/>
    <mergeCell ref="AP17:AR17"/>
    <mergeCell ref="AC17:AE17"/>
    <mergeCell ref="AS16:AU16"/>
    <mergeCell ref="AS17:AU17"/>
    <mergeCell ref="AG17:AI17"/>
    <mergeCell ref="AJ17:AL17"/>
    <mergeCell ref="AM17:AO17"/>
    <mergeCell ref="AF16:AR16"/>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3"/>
  <sheetViews>
    <sheetView zoomScale="70" zoomScaleNormal="70" workbookViewId="0">
      <selection activeCell="B51" sqref="B51"/>
    </sheetView>
  </sheetViews>
  <sheetFormatPr baseColWidth="10" defaultColWidth="9.140625" defaultRowHeight="15" x14ac:dyDescent="0.25"/>
  <cols>
    <col min="1" max="1" width="26.7109375" customWidth="1"/>
    <col min="2" max="2" width="25.5703125" customWidth="1"/>
    <col min="3" max="3" width="10.140625" customWidth="1"/>
  </cols>
  <sheetData>
    <row r="1" spans="1:9" ht="27.75" x14ac:dyDescent="0.4">
      <c r="A1" s="229" t="s">
        <v>80</v>
      </c>
      <c r="B1" s="229"/>
      <c r="C1" s="229"/>
      <c r="D1" s="229"/>
      <c r="E1" s="229"/>
      <c r="F1" s="229"/>
      <c r="G1" s="229"/>
      <c r="H1" s="229"/>
      <c r="I1" s="229"/>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30" t="s">
        <v>22</v>
      </c>
      <c r="F5" s="230"/>
      <c r="G5" s="230"/>
      <c r="H5" s="230"/>
      <c r="I5" s="9"/>
    </row>
    <row r="6" spans="1:9" x14ac:dyDescent="0.25">
      <c r="A6" s="9"/>
      <c r="B6" s="9"/>
      <c r="C6" s="9"/>
      <c r="D6" s="4"/>
      <c r="E6" s="5"/>
      <c r="F6" s="5"/>
      <c r="G6" s="5"/>
      <c r="H6" s="5"/>
      <c r="I6" s="9"/>
    </row>
    <row r="7" spans="1:9" x14ac:dyDescent="0.25">
      <c r="A7" s="9" t="s">
        <v>58</v>
      </c>
      <c r="B7" s="9"/>
      <c r="C7" s="9"/>
      <c r="D7" s="4"/>
      <c r="E7" s="5"/>
      <c r="F7" s="5"/>
      <c r="G7" s="5"/>
      <c r="H7" s="5"/>
      <c r="I7" s="9"/>
    </row>
    <row r="8" spans="1:9" x14ac:dyDescent="0.25">
      <c r="A8" s="9"/>
      <c r="B8" s="9"/>
      <c r="C8" s="9"/>
      <c r="D8" s="4"/>
      <c r="E8" s="5"/>
      <c r="F8" s="5"/>
      <c r="G8" s="5"/>
      <c r="H8" s="5"/>
      <c r="I8" s="9"/>
    </row>
    <row r="9" spans="1:9" x14ac:dyDescent="0.25">
      <c r="A9" t="s">
        <v>47</v>
      </c>
      <c r="B9" s="12">
        <v>0.8</v>
      </c>
      <c r="D9" t="s">
        <v>50</v>
      </c>
    </row>
    <row r="10" spans="1:9" x14ac:dyDescent="0.25">
      <c r="A10" t="s">
        <v>51</v>
      </c>
      <c r="B10" s="13">
        <f>(1-B9)/(2.2*10^6)</f>
        <v>9.0909090909090888E-8</v>
      </c>
      <c r="C10" t="s">
        <v>54</v>
      </c>
      <c r="D10" t="s">
        <v>57</v>
      </c>
    </row>
    <row r="11" spans="1:9" x14ac:dyDescent="0.25">
      <c r="A11" t="s">
        <v>48</v>
      </c>
      <c r="B11" s="12">
        <v>0.85</v>
      </c>
      <c r="D11" t="s">
        <v>50</v>
      </c>
    </row>
    <row r="12" spans="1:9" x14ac:dyDescent="0.25">
      <c r="A12" t="s">
        <v>52</v>
      </c>
      <c r="B12" s="13">
        <f>(1-B11)/(2.2*10^6)</f>
        <v>6.8181818181818186E-8</v>
      </c>
      <c r="C12" t="s">
        <v>54</v>
      </c>
      <c r="D12" t="s">
        <v>56</v>
      </c>
    </row>
    <row r="13" spans="1:9" x14ac:dyDescent="0.25">
      <c r="A13" t="s">
        <v>49</v>
      </c>
      <c r="B13" s="12">
        <v>0.9</v>
      </c>
      <c r="D13" t="s">
        <v>50</v>
      </c>
    </row>
    <row r="14" spans="1:9" x14ac:dyDescent="0.25">
      <c r="A14" t="s">
        <v>53</v>
      </c>
      <c r="B14" s="13">
        <f>(1-B13)/(2.2*10^6)</f>
        <v>4.5454545454545444E-8</v>
      </c>
      <c r="C14" t="s">
        <v>54</v>
      </c>
      <c r="D14" t="s">
        <v>55</v>
      </c>
    </row>
    <row r="16" spans="1:9" x14ac:dyDescent="0.25">
      <c r="A16" t="s">
        <v>59</v>
      </c>
      <c r="B16" s="12">
        <v>0.9</v>
      </c>
      <c r="D16" t="s">
        <v>65</v>
      </c>
    </row>
    <row r="17" spans="1:4" x14ac:dyDescent="0.25">
      <c r="A17" t="s">
        <v>60</v>
      </c>
      <c r="B17" s="12">
        <v>0.93</v>
      </c>
      <c r="D17" t="s">
        <v>62</v>
      </c>
    </row>
    <row r="18" spans="1:4" x14ac:dyDescent="0.25">
      <c r="A18" t="s">
        <v>61</v>
      </c>
      <c r="B18" s="12">
        <v>0.96</v>
      </c>
      <c r="D18" t="s">
        <v>66</v>
      </c>
    </row>
    <row r="19" spans="1:4" x14ac:dyDescent="0.25">
      <c r="B19">
        <f>IF(((1-D_limit_nom)/Constants!B12)&lt;Fsw,2,1)</f>
        <v>2</v>
      </c>
      <c r="D19" t="s">
        <v>72</v>
      </c>
    </row>
    <row r="20" spans="1:4" x14ac:dyDescent="0.25">
      <c r="A20" t="s">
        <v>78</v>
      </c>
      <c r="B20" s="1">
        <f>CHOOSE(B19,D_limit_nom,(1-Constants!B12*Fsw))</f>
        <v>0.85</v>
      </c>
      <c r="D20" t="s">
        <v>79</v>
      </c>
    </row>
    <row r="22" spans="1:4" x14ac:dyDescent="0.25">
      <c r="A22" t="s">
        <v>88</v>
      </c>
      <c r="B22" s="12">
        <f>50*10^-9</f>
        <v>5.0000000000000004E-8</v>
      </c>
      <c r="C22" t="s">
        <v>54</v>
      </c>
      <c r="D22" t="s">
        <v>89</v>
      </c>
    </row>
    <row r="23" spans="1:4" x14ac:dyDescent="0.25">
      <c r="B23" s="12"/>
    </row>
    <row r="24" spans="1:4" ht="15.75" x14ac:dyDescent="0.25">
      <c r="A24" s="29" t="s">
        <v>171</v>
      </c>
    </row>
    <row r="25" spans="1:4" x14ac:dyDescent="0.25">
      <c r="A25" t="s">
        <v>144</v>
      </c>
      <c r="B25" s="12">
        <f>30*10^-6</f>
        <v>2.9999999999999997E-5</v>
      </c>
      <c r="C25" t="s">
        <v>11</v>
      </c>
      <c r="D25" t="s">
        <v>145</v>
      </c>
    </row>
    <row r="26" spans="1:4" x14ac:dyDescent="0.25">
      <c r="A26" t="s">
        <v>146</v>
      </c>
      <c r="B26" s="12">
        <v>1333</v>
      </c>
      <c r="C26" s="2" t="s">
        <v>36</v>
      </c>
      <c r="D26" t="s">
        <v>147</v>
      </c>
    </row>
    <row r="27" spans="1:4" x14ac:dyDescent="0.25">
      <c r="A27" t="s">
        <v>150</v>
      </c>
      <c r="B27" s="12">
        <f>0.1</f>
        <v>0.1</v>
      </c>
      <c r="C27" s="2" t="s">
        <v>10</v>
      </c>
      <c r="D27" t="s">
        <v>151</v>
      </c>
    </row>
    <row r="28" spans="1:4" x14ac:dyDescent="0.25">
      <c r="A28" t="s">
        <v>520</v>
      </c>
      <c r="B28" s="12">
        <v>2000</v>
      </c>
      <c r="C28" s="2" t="s">
        <v>36</v>
      </c>
      <c r="D28" t="s">
        <v>521</v>
      </c>
    </row>
    <row r="29" spans="1:4" x14ac:dyDescent="0.25">
      <c r="A29" t="s">
        <v>236</v>
      </c>
      <c r="B29" s="12">
        <f>0.145</f>
        <v>0.14499999999999999</v>
      </c>
      <c r="C29" t="s">
        <v>180</v>
      </c>
      <c r="D29" t="s">
        <v>238</v>
      </c>
    </row>
    <row r="30" spans="1:4" x14ac:dyDescent="0.25">
      <c r="A30" t="s">
        <v>240</v>
      </c>
      <c r="B30" s="12">
        <v>1</v>
      </c>
      <c r="C30" t="s">
        <v>180</v>
      </c>
      <c r="D30" t="s">
        <v>241</v>
      </c>
    </row>
    <row r="32" spans="1:4" x14ac:dyDescent="0.25">
      <c r="A32" s="33" t="s">
        <v>261</v>
      </c>
    </row>
    <row r="33" spans="1:4" x14ac:dyDescent="0.25">
      <c r="A33" t="s">
        <v>282</v>
      </c>
      <c r="B33">
        <v>1</v>
      </c>
      <c r="C33" t="s">
        <v>10</v>
      </c>
      <c r="D33" t="s">
        <v>283</v>
      </c>
    </row>
    <row r="34" spans="1:4" x14ac:dyDescent="0.25">
      <c r="A34" t="s">
        <v>265</v>
      </c>
      <c r="B34">
        <f>(2*10^-3)/1</f>
        <v>2E-3</v>
      </c>
      <c r="C34" t="s">
        <v>267</v>
      </c>
      <c r="D34" t="s">
        <v>266</v>
      </c>
    </row>
    <row r="36" spans="1:4" x14ac:dyDescent="0.25">
      <c r="A36" s="33" t="s">
        <v>334</v>
      </c>
    </row>
    <row r="37" spans="1:4" x14ac:dyDescent="0.25">
      <c r="A37" t="s">
        <v>335</v>
      </c>
      <c r="B37">
        <f>10*10^-6</f>
        <v>9.9999999999999991E-6</v>
      </c>
      <c r="C37" t="s">
        <v>11</v>
      </c>
      <c r="D37" t="s">
        <v>336</v>
      </c>
    </row>
    <row r="39" spans="1:4" x14ac:dyDescent="0.25">
      <c r="A39" s="33" t="s">
        <v>355</v>
      </c>
    </row>
    <row r="40" spans="1:4" x14ac:dyDescent="0.25">
      <c r="A40" t="s">
        <v>356</v>
      </c>
      <c r="B40">
        <v>1.5</v>
      </c>
      <c r="C40" t="s">
        <v>10</v>
      </c>
      <c r="D40" t="s">
        <v>359</v>
      </c>
    </row>
    <row r="41" spans="1:4" x14ac:dyDescent="0.25">
      <c r="A41" t="s">
        <v>357</v>
      </c>
      <c r="B41">
        <v>1.45</v>
      </c>
      <c r="C41" t="s">
        <v>10</v>
      </c>
      <c r="D41" t="s">
        <v>358</v>
      </c>
    </row>
    <row r="42" spans="1:4" x14ac:dyDescent="0.25">
      <c r="A42" t="s">
        <v>362</v>
      </c>
      <c r="B42">
        <f>5*10^-6</f>
        <v>4.9999999999999996E-6</v>
      </c>
      <c r="C42" t="s">
        <v>11</v>
      </c>
      <c r="D42" t="s">
        <v>363</v>
      </c>
    </row>
    <row r="44" spans="1:4" x14ac:dyDescent="0.25">
      <c r="A44" s="33" t="s">
        <v>420</v>
      </c>
    </row>
    <row r="45" spans="1:4" x14ac:dyDescent="0.25">
      <c r="A45" t="s">
        <v>421</v>
      </c>
      <c r="B45">
        <v>6.75</v>
      </c>
      <c r="C45" t="s">
        <v>10</v>
      </c>
      <c r="D45" t="s">
        <v>422</v>
      </c>
    </row>
    <row r="47" spans="1:4" x14ac:dyDescent="0.25">
      <c r="A47" s="33" t="s">
        <v>439</v>
      </c>
    </row>
    <row r="48" spans="1:4" x14ac:dyDescent="0.25">
      <c r="A48" t="s">
        <v>440</v>
      </c>
      <c r="B48">
        <f>450*(10^-6)</f>
        <v>4.4999999999999999E-4</v>
      </c>
      <c r="C48" t="s">
        <v>11</v>
      </c>
      <c r="D48" t="s">
        <v>441</v>
      </c>
    </row>
    <row r="50" spans="1:4" x14ac:dyDescent="0.25">
      <c r="A50" t="s">
        <v>481</v>
      </c>
    </row>
    <row r="51" spans="1:4" x14ac:dyDescent="0.25">
      <c r="A51" t="s">
        <v>482</v>
      </c>
      <c r="B51">
        <v>1.5</v>
      </c>
      <c r="C51" t="s">
        <v>10</v>
      </c>
      <c r="D51" t="s">
        <v>483</v>
      </c>
    </row>
    <row r="52" spans="1:4" x14ac:dyDescent="0.25">
      <c r="A52" t="s">
        <v>485</v>
      </c>
      <c r="B52">
        <v>45</v>
      </c>
      <c r="C52" t="s">
        <v>10</v>
      </c>
      <c r="D52" t="s">
        <v>484</v>
      </c>
    </row>
    <row r="53" spans="1:4" x14ac:dyDescent="0.25">
      <c r="A53" t="s">
        <v>580</v>
      </c>
      <c r="B53">
        <v>60</v>
      </c>
      <c r="C53" t="s">
        <v>10</v>
      </c>
      <c r="D53" t="s">
        <v>581</v>
      </c>
    </row>
  </sheetData>
  <mergeCells count="2">
    <mergeCell ref="A1:I1"/>
    <mergeCell ref="E5:H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baseColWidth="10" defaultColWidth="9.140625" defaultRowHeight="15" x14ac:dyDescent="0.25"/>
  <cols>
    <col min="3" max="3" width="144.7109375" customWidth="1"/>
  </cols>
  <sheetData>
    <row r="2" spans="2:2" x14ac:dyDescent="0.25">
      <c r="B2" t="str">
        <f>"Eff_vs_IOUT"</f>
        <v>Eff_vs_IOUT</v>
      </c>
    </row>
    <row r="3" spans="2:2" ht="379.9"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4"/>
  <sheetViews>
    <sheetView workbookViewId="0">
      <selection activeCell="A2" sqref="A2"/>
    </sheetView>
  </sheetViews>
  <sheetFormatPr baseColWidth="10" defaultColWidth="9.140625" defaultRowHeight="15" x14ac:dyDescent="0.25"/>
  <cols>
    <col min="2" max="2" width="76.140625" customWidth="1"/>
  </cols>
  <sheetData>
    <row r="1" spans="1:1" x14ac:dyDescent="0.25">
      <c r="A1" t="str">
        <f>IF('Design Converter'!H7&gt;=3,"SCH_1","SCH_2")</f>
        <v>SCH_1</v>
      </c>
    </row>
    <row r="2" spans="1:1" ht="267.60000000000002" customHeight="1" x14ac:dyDescent="0.25"/>
    <row r="4" spans="1:1" ht="267.60000000000002" customHeight="1" x14ac:dyDescent="0.25"/>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11"/>
  <sheetViews>
    <sheetView workbookViewId="0">
      <selection activeCell="D20" sqref="D20"/>
    </sheetView>
  </sheetViews>
  <sheetFormatPr baseColWidth="10" defaultColWidth="9.140625" defaultRowHeight="15" x14ac:dyDescent="0.25"/>
  <sheetData>
    <row r="2" spans="1:4" x14ac:dyDescent="0.25">
      <c r="A2" t="s">
        <v>458</v>
      </c>
    </row>
    <row r="3" spans="1:4" x14ac:dyDescent="0.25">
      <c r="B3" s="47">
        <f>VIN_min</f>
        <v>11</v>
      </c>
    </row>
    <row r="4" spans="1:4" x14ac:dyDescent="0.25">
      <c r="B4" s="221">
        <f>VIN_nom</f>
        <v>15</v>
      </c>
      <c r="D4">
        <v>2.5</v>
      </c>
    </row>
    <row r="5" spans="1:4" x14ac:dyDescent="0.25">
      <c r="B5" s="222">
        <f>VIN_max</f>
        <v>22</v>
      </c>
    </row>
    <row r="8" spans="1:4" x14ac:dyDescent="0.25">
      <c r="A8" t="s">
        <v>552</v>
      </c>
    </row>
    <row r="9" spans="1:4" x14ac:dyDescent="0.25">
      <c r="B9" s="47" t="s">
        <v>495</v>
      </c>
    </row>
    <row r="10" spans="1:4" x14ac:dyDescent="0.25">
      <c r="B10" s="221" t="s">
        <v>496</v>
      </c>
    </row>
    <row r="11" spans="1:4" x14ac:dyDescent="0.25">
      <c r="B11" s="222"/>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5DCCB-1154-4E1B-AC0A-91A88D9D073F}">
  <sheetPr codeName="Sheet9"/>
  <dimension ref="A1:AM47"/>
  <sheetViews>
    <sheetView showGridLines="0" showRowColHeaders="0" zoomScaleNormal="100" workbookViewId="0">
      <selection activeCell="B5" sqref="B5"/>
    </sheetView>
  </sheetViews>
  <sheetFormatPr baseColWidth="10" defaultColWidth="9.140625" defaultRowHeight="14.25" x14ac:dyDescent="0.2"/>
  <cols>
    <col min="1" max="1" width="25.7109375" style="150" bestFit="1" customWidth="1"/>
    <col min="2" max="2" width="56.5703125" style="151" customWidth="1"/>
    <col min="3" max="11" width="9.140625" style="144"/>
    <col min="12" max="12" width="20.42578125" style="144" customWidth="1"/>
    <col min="13" max="16384" width="9.140625" style="144"/>
  </cols>
  <sheetData>
    <row r="1" spans="1:12" x14ac:dyDescent="0.2">
      <c r="A1" s="246"/>
      <c r="B1" s="246"/>
      <c r="C1" s="246"/>
      <c r="D1" s="246"/>
      <c r="E1" s="246"/>
      <c r="F1" s="246"/>
      <c r="G1" s="246"/>
      <c r="H1" s="246"/>
      <c r="I1" s="246"/>
      <c r="J1" s="246"/>
      <c r="K1" s="246"/>
      <c r="L1" s="246"/>
    </row>
    <row r="2" spans="1:12" x14ac:dyDescent="0.2">
      <c r="A2" s="246"/>
      <c r="B2" s="246"/>
      <c r="C2" s="246"/>
      <c r="D2" s="246"/>
      <c r="E2" s="246"/>
      <c r="F2" s="246"/>
      <c r="G2" s="246"/>
      <c r="H2" s="246"/>
      <c r="I2" s="246"/>
      <c r="J2" s="246"/>
      <c r="K2" s="246"/>
      <c r="L2" s="246"/>
    </row>
    <row r="3" spans="1:12" x14ac:dyDescent="0.2">
      <c r="A3" s="246"/>
      <c r="B3" s="246"/>
      <c r="C3" s="246"/>
      <c r="D3" s="246"/>
      <c r="E3" s="246"/>
      <c r="F3" s="246"/>
      <c r="G3" s="246"/>
      <c r="H3" s="246"/>
      <c r="I3" s="246"/>
      <c r="J3" s="246"/>
      <c r="K3" s="246"/>
      <c r="L3" s="246"/>
    </row>
    <row r="4" spans="1:12" ht="12.75" customHeight="1" x14ac:dyDescent="0.2">
      <c r="A4" s="247"/>
      <c r="B4" s="247"/>
      <c r="C4" s="247"/>
      <c r="D4" s="247"/>
      <c r="E4" s="247"/>
      <c r="F4" s="247"/>
      <c r="G4" s="247"/>
      <c r="H4" s="247"/>
      <c r="I4" s="247"/>
      <c r="J4" s="247"/>
      <c r="K4" s="247"/>
      <c r="L4" s="247"/>
    </row>
    <row r="5" spans="1:12" x14ac:dyDescent="0.2">
      <c r="A5" s="145" t="s">
        <v>523</v>
      </c>
      <c r="B5" s="157" t="s">
        <v>575</v>
      </c>
      <c r="C5" s="147"/>
      <c r="D5" s="147"/>
      <c r="E5" s="147"/>
      <c r="F5" s="147"/>
      <c r="G5" s="147"/>
      <c r="H5" s="147"/>
      <c r="I5" s="147"/>
      <c r="J5" s="147"/>
      <c r="K5" s="148"/>
      <c r="L5" s="149"/>
    </row>
    <row r="6" spans="1:12" x14ac:dyDescent="0.2">
      <c r="A6" s="145"/>
      <c r="B6" s="146"/>
      <c r="C6" s="147"/>
      <c r="D6" s="147"/>
      <c r="E6" s="147"/>
      <c r="F6" s="147"/>
      <c r="G6" s="147"/>
      <c r="H6" s="147"/>
      <c r="I6" s="147"/>
      <c r="J6" s="149"/>
      <c r="K6" s="149"/>
      <c r="L6" s="149"/>
    </row>
    <row r="35" spans="1:39" x14ac:dyDescent="0.2">
      <c r="A35" s="152" t="s">
        <v>525</v>
      </c>
      <c r="B35" s="153"/>
      <c r="C35" s="147"/>
      <c r="D35" s="147"/>
      <c r="E35" s="147"/>
      <c r="F35" s="147"/>
      <c r="G35" s="147"/>
      <c r="H35" s="147"/>
      <c r="I35" s="147"/>
      <c r="J35" s="147"/>
      <c r="K35" s="147"/>
    </row>
    <row r="36" spans="1:39" x14ac:dyDescent="0.2">
      <c r="A36" s="154" t="s">
        <v>526</v>
      </c>
      <c r="B36" s="248" t="s">
        <v>527</v>
      </c>
      <c r="C36" s="248"/>
      <c r="D36" s="248"/>
      <c r="E36" s="248"/>
      <c r="F36" s="248"/>
      <c r="G36" s="248"/>
      <c r="H36" s="248"/>
      <c r="I36" s="248"/>
      <c r="J36" s="248"/>
      <c r="K36" s="248"/>
    </row>
    <row r="37" spans="1:39" x14ac:dyDescent="0.2">
      <c r="A37" s="152" t="s">
        <v>524</v>
      </c>
      <c r="B37" s="249" t="s">
        <v>528</v>
      </c>
      <c r="C37" s="249"/>
      <c r="D37" s="249"/>
      <c r="E37" s="249"/>
      <c r="F37" s="249"/>
      <c r="G37" s="249"/>
      <c r="H37" s="249"/>
      <c r="I37" s="249"/>
      <c r="J37" s="249"/>
      <c r="K37" s="249"/>
    </row>
    <row r="38" spans="1:39" ht="14.25" customHeight="1" x14ac:dyDescent="0.2">
      <c r="A38" s="156" t="s">
        <v>531</v>
      </c>
      <c r="B38" s="250" t="s">
        <v>532</v>
      </c>
      <c r="C38" s="250"/>
      <c r="D38" s="250"/>
      <c r="E38" s="250"/>
      <c r="F38" s="250"/>
      <c r="G38" s="250"/>
      <c r="H38" s="250"/>
      <c r="I38" s="250"/>
      <c r="J38" s="250"/>
      <c r="K38" s="250"/>
    </row>
    <row r="39" spans="1:39" ht="14.25" customHeight="1" x14ac:dyDescent="0.2">
      <c r="A39" s="156" t="s">
        <v>575</v>
      </c>
      <c r="B39" s="226" t="s">
        <v>576</v>
      </c>
      <c r="C39" s="226"/>
      <c r="D39" s="226"/>
      <c r="E39" s="226"/>
      <c r="F39" s="226"/>
      <c r="G39" s="226"/>
      <c r="H39" s="226"/>
      <c r="I39" s="226"/>
      <c r="J39" s="226"/>
      <c r="K39" s="226"/>
    </row>
    <row r="40" spans="1:39" ht="14.25" customHeight="1" x14ac:dyDescent="0.2">
      <c r="A40" s="156"/>
      <c r="B40" s="226"/>
      <c r="C40" s="226"/>
      <c r="D40" s="226"/>
      <c r="E40" s="226"/>
      <c r="F40" s="226"/>
      <c r="G40" s="226"/>
      <c r="H40" s="226"/>
      <c r="I40" s="226"/>
      <c r="J40" s="226"/>
      <c r="K40" s="226"/>
    </row>
    <row r="41" spans="1:39" ht="14.25" customHeight="1" x14ac:dyDescent="0.2">
      <c r="A41" s="156"/>
      <c r="B41" s="226"/>
      <c r="C41" s="226"/>
      <c r="D41" s="226"/>
      <c r="E41" s="226"/>
      <c r="F41" s="226"/>
      <c r="G41" s="226"/>
      <c r="H41" s="226"/>
      <c r="I41" s="226"/>
      <c r="J41" s="226"/>
      <c r="K41" s="226"/>
    </row>
    <row r="42" spans="1:39" x14ac:dyDescent="0.2">
      <c r="A42" s="156"/>
      <c r="B42" s="226"/>
      <c r="C42" s="226"/>
      <c r="D42" s="226"/>
      <c r="E42" s="226"/>
      <c r="F42" s="226"/>
      <c r="G42" s="226"/>
      <c r="H42" s="226"/>
      <c r="I42" s="226"/>
      <c r="J42" s="226"/>
      <c r="K42" s="226"/>
    </row>
    <row r="43" spans="1:39" x14ac:dyDescent="0.2">
      <c r="A43" s="156"/>
      <c r="B43" s="226"/>
      <c r="C43" s="226"/>
      <c r="D43" s="226"/>
      <c r="E43" s="226"/>
      <c r="F43" s="226"/>
      <c r="G43" s="226"/>
      <c r="H43" s="226"/>
      <c r="I43" s="226"/>
      <c r="J43" s="226"/>
      <c r="K43" s="226"/>
    </row>
    <row r="44" spans="1:39" ht="15" x14ac:dyDescent="0.2">
      <c r="A44" s="156"/>
      <c r="B44" s="226"/>
      <c r="C44" s="226"/>
      <c r="D44" s="226"/>
      <c r="E44" s="226"/>
      <c r="F44" s="226"/>
      <c r="G44" s="226"/>
      <c r="H44" s="226"/>
      <c r="I44" s="226"/>
      <c r="J44" s="226"/>
      <c r="K44" s="226"/>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row>
    <row r="45" spans="1:39" x14ac:dyDescent="0.2">
      <c r="A45" s="156"/>
      <c r="B45" s="226"/>
      <c r="C45" s="226"/>
      <c r="D45" s="226"/>
      <c r="E45" s="226"/>
      <c r="F45" s="226"/>
      <c r="G45" s="226"/>
      <c r="H45" s="226"/>
      <c r="I45" s="226"/>
      <c r="J45" s="226"/>
      <c r="K45" s="226"/>
    </row>
    <row r="46" spans="1:39" x14ac:dyDescent="0.2">
      <c r="A46" s="156"/>
      <c r="B46" s="226"/>
      <c r="C46" s="226"/>
      <c r="D46" s="226"/>
      <c r="E46" s="226"/>
      <c r="F46" s="226"/>
      <c r="G46" s="226"/>
      <c r="H46" s="226"/>
      <c r="I46" s="226"/>
      <c r="J46" s="226"/>
      <c r="K46" s="226"/>
    </row>
    <row r="47" spans="1:39" x14ac:dyDescent="0.2">
      <c r="A47" s="156"/>
      <c r="B47" s="226"/>
    </row>
  </sheetData>
  <sheetProtection algorithmName="SHA-512" hashValue="w01gbvbP5UAcO48uUSPEcM42DLQN7csQvCqJuiQNlT2ekF2fq5jE6wMXzUF2sGQQxMvVP9g7SkV1wWRVLYe5KQ==" saltValue="LTIZtgTeeFd21Qi1VHycQA==" spinCount="100000" sheet="1" objects="1" scenarios="1" selectLockedCells="1" selectUnlockedCells="1"/>
  <mergeCells count="5">
    <mergeCell ref="A1:L3"/>
    <mergeCell ref="A4:L4"/>
    <mergeCell ref="B36:K36"/>
    <mergeCell ref="B37:K37"/>
    <mergeCell ref="B38:K3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131</vt:i4>
      </vt:variant>
    </vt:vector>
  </HeadingPairs>
  <TitlesOfParts>
    <vt:vector size="141" baseType="lpstr">
      <vt:lpstr>Design Converter</vt:lpstr>
      <vt:lpstr>Variable_Management</vt:lpstr>
      <vt:lpstr>Eff_vs_IOUT</vt:lpstr>
      <vt:lpstr>Loop_Modeling</vt:lpstr>
      <vt:lpstr>Constants</vt:lpstr>
      <vt:lpstr>Plot_Management_Eff</vt:lpstr>
      <vt:lpstr>Plot_Management_Sch</vt:lpstr>
      <vt:lpstr>Lists</vt:lpstr>
      <vt:lpstr>Licenses</vt:lpstr>
      <vt:lpstr>Sheet1</vt:lpstr>
      <vt:lpstr>Acs</vt:lpstr>
      <vt:lpstr>Adc</vt:lpstr>
      <vt:lpstr>Adc_ea</vt:lpstr>
      <vt:lpstr>ADC_VINmin</vt:lpstr>
      <vt:lpstr>CCOMP</vt:lpstr>
      <vt:lpstr>CComp_calc</vt:lpstr>
      <vt:lpstr>CHF</vt:lpstr>
      <vt:lpstr>Comp_calc</vt:lpstr>
      <vt:lpstr>Cout</vt:lpstr>
      <vt:lpstr>Cout_min</vt:lpstr>
      <vt:lpstr>D_limit_max</vt:lpstr>
      <vt:lpstr>D_limit_min</vt:lpstr>
      <vt:lpstr>D_limit_nom</vt:lpstr>
      <vt:lpstr>Dc_CCM_VIN_max</vt:lpstr>
      <vt:lpstr>Dc_CCM_VIN_min</vt:lpstr>
      <vt:lpstr>Dc_CCM_VIN_nom</vt:lpstr>
      <vt:lpstr>Dc_DCM_VIN_nom</vt:lpstr>
      <vt:lpstr>Dc_max_IC</vt:lpstr>
      <vt:lpstr>Dc_max_ideal</vt:lpstr>
      <vt:lpstr>Dc_Mode</vt:lpstr>
      <vt:lpstr>Dc_Mode_Loop</vt:lpstr>
      <vt:lpstr>Dc_rip_max</vt:lpstr>
      <vt:lpstr>Dc_VIN_max</vt:lpstr>
      <vt:lpstr>Dc_VIN_min</vt:lpstr>
      <vt:lpstr>Dc_VIN_nom</vt:lpstr>
      <vt:lpstr>'Design Converter'!Druckbereich</vt:lpstr>
      <vt:lpstr>EFF_est</vt:lpstr>
      <vt:lpstr>Eff_vs_IOUT</vt:lpstr>
      <vt:lpstr>fcross</vt:lpstr>
      <vt:lpstr>fcross_est</vt:lpstr>
      <vt:lpstr>fp_ea_est</vt:lpstr>
      <vt:lpstr>Fsw</vt:lpstr>
      <vt:lpstr>fz_ea_est</vt:lpstr>
      <vt:lpstr>fz_rhp</vt:lpstr>
      <vt:lpstr>Gcomp</vt:lpstr>
      <vt:lpstr>Gea_mid_calc</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Ipk_margin</vt:lpstr>
      <vt:lpstr>Ipk_selected</vt:lpstr>
      <vt:lpstr>IQ</vt:lpstr>
      <vt:lpstr>IRMS_COUT</vt:lpstr>
      <vt:lpstr>Isl</vt:lpstr>
      <vt:lpstr>Iss</vt:lpstr>
      <vt:lpstr>Kslope</vt:lpstr>
      <vt:lpstr>L_DCM</vt:lpstr>
      <vt:lpstr>Lm</vt:lpstr>
      <vt:lpstr>Lopt</vt:lpstr>
      <vt:lpstr>Lopt_2</vt:lpstr>
      <vt:lpstr>POUT</vt:lpstr>
      <vt:lpstr>Q</vt:lpstr>
      <vt:lpstr>Q_VINmin</vt:lpstr>
      <vt:lpstr>Qg_tot</vt:lpstr>
      <vt:lpstr>Qgd</vt:lpstr>
      <vt:lpstr>Qgs</vt:lpstr>
      <vt:lpstr>Qrr</vt:lpstr>
      <vt:lpstr>R_cs</vt:lpstr>
      <vt:lpstr>R_sl</vt:lpstr>
      <vt:lpstr>RCOMP</vt:lpstr>
      <vt:lpstr>Rcomp_calc</vt:lpstr>
      <vt:lpstr>Rcs_max</vt:lpstr>
      <vt:lpstr>Rcs_w_sl</vt:lpstr>
      <vt:lpstr>Rcs_wo_sl</vt:lpstr>
      <vt:lpstr>Rdcr</vt:lpstr>
      <vt:lpstr>RDS_on</vt:lpstr>
      <vt:lpstr>Resr</vt:lpstr>
      <vt:lpstr>RFBB</vt:lpstr>
      <vt:lpstr>RFBB_calc</vt:lpstr>
      <vt:lpstr>RFBT</vt:lpstr>
      <vt:lpstr>Rgate</vt:lpstr>
      <vt:lpstr>ROUT</vt:lpstr>
      <vt:lpstr>Rsl_int</vt:lpstr>
      <vt:lpstr>Rsl_max</vt:lpstr>
      <vt:lpstr>RT</vt:lpstr>
      <vt:lpstr>Ruvlo_bottom_calc</vt:lpstr>
      <vt:lpstr>Ruvlo_top</vt:lpstr>
      <vt:lpstr>Ruvlo_top_calc</vt:lpstr>
      <vt:lpstr>SCH_1</vt:lpstr>
      <vt:lpstr>SCH_2</vt:lpstr>
      <vt:lpstr>Se_VINmin</vt:lpstr>
      <vt:lpstr>Sn_VINmin</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VIN_op_max_56</vt:lpstr>
      <vt:lpstr>VIN_op_min</vt:lpstr>
      <vt:lpstr>VIN_var</vt:lpstr>
      <vt:lpstr>VOUT</vt:lpstr>
      <vt:lpstr>Vout_rip_sel</vt:lpstr>
      <vt:lpstr>Vref</vt:lpstr>
      <vt:lpstr>Vth</vt:lpstr>
      <vt:lpstr>Vuvlo_off</vt:lpstr>
      <vt:lpstr>Vuvlo_on</vt:lpstr>
      <vt:lpstr>wp_hf</vt:lpstr>
      <vt:lpstr>wp_lf</vt:lpstr>
      <vt:lpstr>wp_lf_VINmin</vt:lpstr>
      <vt:lpstr>wp0_ea</vt:lpstr>
      <vt:lpstr>wp1_ea</vt:lpstr>
      <vt:lpstr>wsl</vt:lpstr>
      <vt:lpstr>wsl_VINmin</vt:lpstr>
      <vt:lpstr>wz_ea</vt:lpstr>
      <vt:lpstr>wz_esr</vt:lpstr>
      <vt:lpstr>wz_esr_VINmin</vt:lpstr>
      <vt:lpstr>wz_rhp</vt:lpstr>
      <vt:lpstr>wz_RHP_VINmin</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2024-07-11T01:26:52Z</dcterms:modified>
</cp:coreProperties>
</file>